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845" windowWidth="1680" windowHeight="11280" tabRatio="639" activeTab="1"/>
  </bookViews>
  <sheets>
    <sheet name="database" sheetId="1" r:id="rId1"/>
    <sheet name="rocks" sheetId="2" r:id="rId2"/>
    <sheet name="minerals" sheetId="3" r:id="rId3"/>
    <sheet name="rock mineral modes" sheetId="4" r:id="rId4"/>
    <sheet name="Vp" sheetId="5" r:id="rId5"/>
    <sheet name="Vs" sheetId="6" r:id="rId6"/>
    <sheet name="density" sheetId="7" r:id="rId7"/>
  </sheets>
  <externalReferences>
    <externalReference r:id="rId10"/>
  </externalReferences>
  <definedNames>
    <definedName name="anth">'rocks'!#REF!</definedName>
    <definedName name="atwtAl">26.982</definedName>
    <definedName name="atwtC">12.011</definedName>
    <definedName name="atwtCa">40.08</definedName>
    <definedName name="atwtFe">55.847</definedName>
    <definedName name="atwtH">1.008</definedName>
    <definedName name="atwtK">39.102</definedName>
    <definedName name="atwtMg">24.312</definedName>
    <definedName name="atwtNa">22.99</definedName>
    <definedName name="atwtO">16</definedName>
    <definedName name="atwtSi">28.086</definedName>
    <definedName name="chlB">#REF!</definedName>
    <definedName name="chlM">#REF!</definedName>
    <definedName name="chlP">#REF!</definedName>
    <definedName name="chlVp">#REF!</definedName>
    <definedName name="clhB">#REF!</definedName>
    <definedName name="kA" localSheetId="2">'minerals'!$I$49</definedName>
    <definedName name="kA">'database'!#REF!</definedName>
    <definedName name="kac" localSheetId="2">'minerals'!$I$26</definedName>
    <definedName name="kac">'database'!#REF!</definedName>
    <definedName name="kalm" localSheetId="2">'minerals'!$I$13</definedName>
    <definedName name="kalm">'database'!#REF!</definedName>
    <definedName name="kan" localSheetId="2">'minerals'!$I$10</definedName>
    <definedName name="kan">'database'!#REF!</definedName>
    <definedName name="kann" localSheetId="2">'minerals'!$I$32</definedName>
    <definedName name="kann">'database'!#REF!</definedName>
    <definedName name="kanth" localSheetId="2">'minerals'!$I$30</definedName>
    <definedName name="kanth">'database'!#REF!</definedName>
    <definedName name="kaqz" localSheetId="2">'minerals'!$I$5</definedName>
    <definedName name="kaqz">'database'!#REF!</definedName>
    <definedName name="kar" localSheetId="2">'minerals'!$I$56</definedName>
    <definedName name="kar">'database'!#REF!</definedName>
    <definedName name="katg" localSheetId="2">'minerals'!$I$38</definedName>
    <definedName name="katg">'database'!#REF!</definedName>
    <definedName name="kbqz" localSheetId="2">'minerals'!$I$6</definedName>
    <definedName name="kbqz">'database'!#REF!</definedName>
    <definedName name="kbr" localSheetId="2">'minerals'!$I$47</definedName>
    <definedName name="kbr">'database'!#REF!</definedName>
    <definedName name="kcc" localSheetId="2">'minerals'!$I$55</definedName>
    <definedName name="kcc">'database'!#REF!</definedName>
    <definedName name="kchum" localSheetId="2">'minerals'!$I$48</definedName>
    <definedName name="kchum">'database'!#REF!</definedName>
    <definedName name="kclin" localSheetId="2">'minerals'!$I$36</definedName>
    <definedName name="kclin">'database'!#REF!</definedName>
    <definedName name="kcoe" localSheetId="2">'minerals'!$I$7</definedName>
    <definedName name="kcoe">'database'!#REF!</definedName>
    <definedName name="kczo" localSheetId="2">'minerals'!$I$40</definedName>
    <definedName name="kczo">'database'!#REF!</definedName>
    <definedName name="kdaph" localSheetId="2">'minerals'!$I$37</definedName>
    <definedName name="kdaph">'database'!#REF!</definedName>
    <definedName name="kdi" localSheetId="2">'minerals'!$I$20</definedName>
    <definedName name="kdi">'database'!#REF!</definedName>
    <definedName name="ken" localSheetId="2">'minerals'!$I$18</definedName>
    <definedName name="ken">'database'!#REF!</definedName>
    <definedName name="kep" localSheetId="2">'minerals'!$I$41</definedName>
    <definedName name="kep">'database'!#REF!</definedName>
    <definedName name="kfa" localSheetId="2">'minerals'!$I$17</definedName>
    <definedName name="kfa">'database'!#REF!</definedName>
    <definedName name="kfgl" localSheetId="2">'minerals'!$I$24</definedName>
    <definedName name="kfgl">'database'!#REF!</definedName>
    <definedName name="kfo" localSheetId="2">'minerals'!$I$16</definedName>
    <definedName name="kfo">'database'!#REF!</definedName>
    <definedName name="kfs" localSheetId="2">'minerals'!$I$19</definedName>
    <definedName name="kfs">'database'!#REF!</definedName>
    <definedName name="kgl" localSheetId="2">'minerals'!$I$23</definedName>
    <definedName name="kgl">'database'!#REF!</definedName>
    <definedName name="kgrs" localSheetId="2">'minerals'!$I$14</definedName>
    <definedName name="kgrs">'database'!#REF!</definedName>
    <definedName name="khab" localSheetId="2">'minerals'!$I$8</definedName>
    <definedName name="khab">'database'!#REF!</definedName>
    <definedName name="khb" localSheetId="2">'minerals'!$I$29</definedName>
    <definedName name="khb">'database'!#REF!</definedName>
    <definedName name="khd" localSheetId="2">'minerals'!$I$21</definedName>
    <definedName name="khd">'database'!#REF!</definedName>
    <definedName name="kHerc" localSheetId="2">'minerals'!$I$53</definedName>
    <definedName name="kHerc">'database'!#REF!</definedName>
    <definedName name="kjd" localSheetId="2">'minerals'!$I$22</definedName>
    <definedName name="kjd">'database'!#REF!</definedName>
    <definedName name="kky" localSheetId="2">'minerals'!$I$51</definedName>
    <definedName name="kky">'database'!#REF!</definedName>
    <definedName name="klab" localSheetId="2">'minerals'!$I$9</definedName>
    <definedName name="klab">'database'!#REF!</definedName>
    <definedName name="klaw" localSheetId="2">'minerals'!$I$42</definedName>
    <definedName name="klaw">'database'!#REF!</definedName>
    <definedName name="klm" localSheetId="2">'minerals'!$I$45</definedName>
    <definedName name="klm">'database'!#REF!</definedName>
    <definedName name="kMagn" localSheetId="2">'minerals'!$I$54</definedName>
    <definedName name="kMagn">'database'!#REF!</definedName>
    <definedName name="kms" localSheetId="2">'minerals'!$I$33</definedName>
    <definedName name="kms">'database'!#REF!</definedName>
    <definedName name="kor" localSheetId="2">'minerals'!#REF!</definedName>
    <definedName name="kor">'database'!$H$11</definedName>
    <definedName name="kparg" localSheetId="2">'minerals'!$I$28</definedName>
    <definedName name="kparg">'database'!#REF!</definedName>
    <definedName name="kphl" localSheetId="2">'minerals'!$I$31</definedName>
    <definedName name="kphl">'database'!#REF!</definedName>
    <definedName name="kpm" localSheetId="2">'minerals'!$I$44</definedName>
    <definedName name="kpm">'database'!#REF!</definedName>
    <definedName name="kpr" localSheetId="2">'minerals'!$I$43</definedName>
    <definedName name="kpr">'database'!#REF!</definedName>
    <definedName name="kprp" localSheetId="2">'minerals'!$I$15</definedName>
    <definedName name="kprp">'database'!#REF!</definedName>
    <definedName name="ksan" localSheetId="2">'minerals'!$I$12</definedName>
    <definedName name="ksan">'database'!#REF!</definedName>
    <definedName name="ksil" localSheetId="2">'minerals'!#REF!</definedName>
    <definedName name="ksil">'database'!$H$53</definedName>
    <definedName name="kSpl" localSheetId="2">'minerals'!$I$52</definedName>
    <definedName name="kSpl">'database'!#REF!</definedName>
    <definedName name="ksps" localSheetId="2">'minerals'!#REF!</definedName>
    <definedName name="ksps">'database'!#REF!</definedName>
    <definedName name="kta" localSheetId="2">'minerals'!$I$35</definedName>
    <definedName name="kta">'database'!#REF!</definedName>
    <definedName name="ktr" localSheetId="2">'minerals'!$I$25</definedName>
    <definedName name="ktr">'database'!#REF!</definedName>
    <definedName name="kts" localSheetId="2">'minerals'!$I$27</definedName>
    <definedName name="kts">'database'!#REF!</definedName>
    <definedName name="kVRH">'rocks'!#REF!</definedName>
    <definedName name="kwr" localSheetId="2">'minerals'!$I$46</definedName>
    <definedName name="kwr">'database'!#REF!</definedName>
    <definedName name="kzo" localSheetId="2">'minerals'!#REF!</definedName>
    <definedName name="kzo">'database'!$H$42</definedName>
    <definedName name="m10A" localSheetId="2">'minerals'!#REF!</definedName>
    <definedName name="m10A">'database'!#REF!</definedName>
    <definedName name="mA" localSheetId="2">'minerals'!#REF!</definedName>
    <definedName name="mA">'database'!$D$52</definedName>
    <definedName name="mac" localSheetId="2">'minerals'!#REF!</definedName>
    <definedName name="mac">'database'!$D$29</definedName>
    <definedName name="malm" localSheetId="2">'minerals'!#REF!</definedName>
    <definedName name="malm">'database'!$D$13</definedName>
    <definedName name="man" localSheetId="2">'minerals'!#REF!</definedName>
    <definedName name="man">'database'!$D$10</definedName>
    <definedName name="mann" localSheetId="2">'minerals'!#REF!</definedName>
    <definedName name="mann">'database'!$D$35</definedName>
    <definedName name="manth" localSheetId="2">'minerals'!#REF!</definedName>
    <definedName name="manth">'database'!$D$33</definedName>
    <definedName name="maqz" localSheetId="2">'minerals'!#REF!</definedName>
    <definedName name="maqz">'database'!$D$5</definedName>
    <definedName name="mar" localSheetId="2">'minerals'!#REF!</definedName>
    <definedName name="mar">'database'!$D$59</definedName>
    <definedName name="matg" localSheetId="2">'minerals'!#REF!</definedName>
    <definedName name="matg">'database'!$D$41</definedName>
    <definedName name="mbqz" localSheetId="2">'minerals'!#REF!</definedName>
    <definedName name="mbqz">'database'!$D$6</definedName>
    <definedName name="mbr" localSheetId="2">'minerals'!#REF!</definedName>
    <definedName name="mbr">'database'!$D$50</definedName>
    <definedName name="mcc" localSheetId="2">'minerals'!#REF!</definedName>
    <definedName name="mcc">'database'!$D$58</definedName>
    <definedName name="mchum" localSheetId="2">'minerals'!#REF!</definedName>
    <definedName name="mchum">'database'!$D$51</definedName>
    <definedName name="mclin" localSheetId="2">'minerals'!#REF!</definedName>
    <definedName name="mclin">'database'!$D$39</definedName>
    <definedName name="mcoe" localSheetId="2">'minerals'!#REF!</definedName>
    <definedName name="mcoe">'database'!$D$7</definedName>
    <definedName name="mczo" localSheetId="2">'minerals'!#REF!</definedName>
    <definedName name="mczo">'database'!$D$43</definedName>
    <definedName name="mdaph" localSheetId="2">'minerals'!#REF!</definedName>
    <definedName name="mdaph">'database'!$D$40</definedName>
    <definedName name="mdi" localSheetId="2">'minerals'!#REF!</definedName>
    <definedName name="mdi">'database'!$D$21</definedName>
    <definedName name="men" localSheetId="2">'minerals'!#REF!</definedName>
    <definedName name="men">'database'!$D$18</definedName>
    <definedName name="mep" localSheetId="2">'minerals'!#REF!</definedName>
    <definedName name="mep">'database'!$D$44</definedName>
    <definedName name="mfa" localSheetId="2">'minerals'!#REF!</definedName>
    <definedName name="mfa">'database'!$D$17</definedName>
    <definedName name="mfgl" localSheetId="2">'minerals'!#REF!</definedName>
    <definedName name="mfgl">'database'!$D$27</definedName>
    <definedName name="mfo" localSheetId="2">'minerals'!#REF!</definedName>
    <definedName name="mfo">'database'!$D$16</definedName>
    <definedName name="mfs" localSheetId="2">'minerals'!#REF!</definedName>
    <definedName name="mfs">'database'!$D$19</definedName>
    <definedName name="mgl" localSheetId="2">'minerals'!#REF!</definedName>
    <definedName name="mgl">'database'!$D$26</definedName>
    <definedName name="mgrs" localSheetId="2">'minerals'!#REF!</definedName>
    <definedName name="mgrs">'database'!$D$14</definedName>
    <definedName name="mhab" localSheetId="2">'minerals'!#REF!</definedName>
    <definedName name="mhab">'database'!$D$8</definedName>
    <definedName name="mhb" localSheetId="2">'minerals'!#REF!</definedName>
    <definedName name="mhb">'database'!$D$32</definedName>
    <definedName name="mhd" localSheetId="2">'minerals'!#REF!</definedName>
    <definedName name="mhd">'database'!$D$22</definedName>
    <definedName name="mherc" localSheetId="2">'minerals'!#REF!</definedName>
    <definedName name="mherc">'database'!$D$56</definedName>
    <definedName name="mjd" localSheetId="2">'minerals'!#REF!</definedName>
    <definedName name="mjd">'database'!$D$23</definedName>
    <definedName name="mky" localSheetId="2">'minerals'!#REF!</definedName>
    <definedName name="mky">'database'!$D$54</definedName>
    <definedName name="mlab" localSheetId="2">'minerals'!#REF!</definedName>
    <definedName name="mlab">'database'!$D$9</definedName>
    <definedName name="mlaw" localSheetId="2">'minerals'!#REF!</definedName>
    <definedName name="mlaw">'database'!$D$45</definedName>
    <definedName name="mlm" localSheetId="2">'minerals'!#REF!</definedName>
    <definedName name="mlm">'database'!$D$48</definedName>
    <definedName name="mmagn" localSheetId="2">'minerals'!#REF!</definedName>
    <definedName name="mmagn">'database'!$D$57</definedName>
    <definedName name="mms" localSheetId="2">'minerals'!#REF!</definedName>
    <definedName name="mms">'database'!$D$36</definedName>
    <definedName name="molSum">'rocks'!#REF!</definedName>
    <definedName name="mor" localSheetId="2">'minerals'!#REF!</definedName>
    <definedName name="mor">'database'!$D$11</definedName>
    <definedName name="mparg" localSheetId="2">'minerals'!#REF!</definedName>
    <definedName name="mparg">'database'!$D$31</definedName>
    <definedName name="mphl" localSheetId="2">'minerals'!#REF!</definedName>
    <definedName name="mphl">'database'!$D$34</definedName>
    <definedName name="mpm" localSheetId="2">'minerals'!#REF!</definedName>
    <definedName name="mpm">'database'!$D$47</definedName>
    <definedName name="mpr" localSheetId="2">'minerals'!#REF!</definedName>
    <definedName name="mpr">'database'!$D$46</definedName>
    <definedName name="mprp" localSheetId="2">'minerals'!#REF!</definedName>
    <definedName name="mprp">'database'!$D$15</definedName>
    <definedName name="msan" localSheetId="2">'minerals'!#REF!</definedName>
    <definedName name="msan">'database'!$D$12</definedName>
    <definedName name="msil" localSheetId="2">'minerals'!#REF!</definedName>
    <definedName name="msil">'database'!$D$53</definedName>
    <definedName name="mspl" localSheetId="2">'minerals'!#REF!</definedName>
    <definedName name="mspl">'database'!$D$55</definedName>
    <definedName name="msps" localSheetId="2">'minerals'!#REF!</definedName>
    <definedName name="msps">'database'!#REF!</definedName>
    <definedName name="mta" localSheetId="2">'minerals'!#REF!</definedName>
    <definedName name="mta">'database'!$D$38</definedName>
    <definedName name="mtr" localSheetId="2">'minerals'!#REF!</definedName>
    <definedName name="mtr">'database'!$D$28</definedName>
    <definedName name="mts" localSheetId="2">'minerals'!#REF!</definedName>
    <definedName name="mts">'database'!$D$30</definedName>
    <definedName name="mwr" localSheetId="2">'minerals'!#REF!</definedName>
    <definedName name="mwr">'database'!$D$49</definedName>
    <definedName name="mzo" localSheetId="2">'minerals'!#REF!</definedName>
    <definedName name="mzo">'database'!$D$42</definedName>
    <definedName name="nA">'rocks'!$52:$52</definedName>
    <definedName name="nalm">'rocks'!$13:$13</definedName>
    <definedName name="nan">'rocks'!$10:$10</definedName>
    <definedName name="nann">'rocks'!$35:$35</definedName>
    <definedName name="nanth">'rocks'!$33:$33</definedName>
    <definedName name="naqz">'rocks'!$5:$5</definedName>
    <definedName name="nar">'rocks'!$59:$59</definedName>
    <definedName name="natg">'rocks'!$41:$41</definedName>
    <definedName name="nbqz">'rocks'!$6:$6</definedName>
    <definedName name="nbr">'rocks'!$50:$50</definedName>
    <definedName name="ncc">'rocks'!$58:$58</definedName>
    <definedName name="nchum">'rocks'!$51:$51</definedName>
    <definedName name="nclin">'rocks'!$39:$39</definedName>
    <definedName name="ncoe">'rocks'!$7:$7</definedName>
    <definedName name="nczo">'rocks'!$43:$43</definedName>
    <definedName name="ndaph">'rocks'!$40:$40</definedName>
    <definedName name="ndi">'rocks'!$21:$21</definedName>
    <definedName name="nen">'rocks'!$18:$18</definedName>
    <definedName name="nep">'rocks'!$44:$44</definedName>
    <definedName name="nfa">'rocks'!$17:$17</definedName>
    <definedName name="nfact">'rocks'!$29:$29</definedName>
    <definedName name="nfgl">'rocks'!$27:$27</definedName>
    <definedName name="nfo">'rocks'!$16:$16</definedName>
    <definedName name="nfs">'rocks'!$19:$19</definedName>
    <definedName name="ngl">'rocks'!$26:$26</definedName>
    <definedName name="ngrs">'rocks'!$14:$14</definedName>
    <definedName name="nhab">'rocks'!$8:$8</definedName>
    <definedName name="nhb">'rocks'!$32:$32</definedName>
    <definedName name="nhd">'rocks'!$22:$22</definedName>
    <definedName name="nHerc">'rocks'!$56:$56</definedName>
    <definedName name="njd">'rocks'!$23:$23</definedName>
    <definedName name="nky">'rocks'!$54:$54</definedName>
    <definedName name="nlab">'rocks'!$9:$9</definedName>
    <definedName name="nlaw">'rocks'!$45:$45</definedName>
    <definedName name="nlm">'rocks'!$48:$48</definedName>
    <definedName name="nMagn">'rocks'!$57:$57</definedName>
    <definedName name="nms">'rocks'!$36:$36</definedName>
    <definedName name="nOr">'rocks'!$11:$11</definedName>
    <definedName name="nparg">'rocks'!$31:$31</definedName>
    <definedName name="nphl">'rocks'!$34:$34</definedName>
    <definedName name="npm">'rocks'!$47:$47</definedName>
    <definedName name="npr">'rocks'!$46:$46</definedName>
    <definedName name="nprp">'rocks'!$15:$15</definedName>
    <definedName name="nqz">'rocks'!$5:$5</definedName>
    <definedName name="nsan">'rocks'!$12:$12</definedName>
    <definedName name="nSil">'rocks'!$53:$53</definedName>
    <definedName name="nSpl">'rocks'!$55:$55</definedName>
    <definedName name="nsps">'rocks'!#REF!</definedName>
    <definedName name="nsum">'rocks'!$61:$61</definedName>
    <definedName name="nta">'rocks'!$38:$38</definedName>
    <definedName name="ntr">'rocks'!$28:$28</definedName>
    <definedName name="nts">'rocks'!$30:$30</definedName>
    <definedName name="nwr">'rocks'!$49:$49</definedName>
    <definedName name="nzo">'rocks'!$42:$42</definedName>
    <definedName name="oxideAl">50.982</definedName>
    <definedName name="oxideC">44.011</definedName>
    <definedName name="oxideCa">56.08</definedName>
    <definedName name="oxideFe">71.85</definedName>
    <definedName name="oxideH">9.008</definedName>
    <definedName name="oxideK">47.102</definedName>
    <definedName name="oxideMg">40.312</definedName>
    <definedName name="oxideNa">30.99</definedName>
    <definedName name="oxideO">'database'!$W$2</definedName>
    <definedName name="oxideSi">60.09</definedName>
    <definedName name="P">'rocks'!#REF!</definedName>
    <definedName name="_xlnm.Print_Area" localSheetId="1">'rocks'!$A$1:$A$72</definedName>
    <definedName name="r_Voigt">'rocks'!#REF!</definedName>
    <definedName name="rA" localSheetId="2">'minerals'!$K$49</definedName>
    <definedName name="rA">'database'!#REF!</definedName>
    <definedName name="rac" localSheetId="2">'minerals'!$K$26</definedName>
    <definedName name="rac">'database'!#REF!</definedName>
    <definedName name="ralm" localSheetId="2">'minerals'!$K$13</definedName>
    <definedName name="ralm">'database'!#REF!</definedName>
    <definedName name="ran" localSheetId="2">'minerals'!$K$10</definedName>
    <definedName name="ran">'database'!#REF!</definedName>
    <definedName name="rann" localSheetId="2">'minerals'!$K$32</definedName>
    <definedName name="rann">'database'!#REF!</definedName>
    <definedName name="ranth" localSheetId="2">'minerals'!$K$30</definedName>
    <definedName name="ranth">'database'!#REF!</definedName>
    <definedName name="raqz" localSheetId="2">'minerals'!$K$5</definedName>
    <definedName name="raqz">'database'!#REF!</definedName>
    <definedName name="rar" localSheetId="2">'minerals'!$K$56</definedName>
    <definedName name="rar">'database'!#REF!</definedName>
    <definedName name="ratg" localSheetId="2">'minerals'!$K$38</definedName>
    <definedName name="ratg">'database'!#REF!</definedName>
    <definedName name="rbqz" localSheetId="2">'minerals'!$K$6</definedName>
    <definedName name="rbqz">'database'!#REF!</definedName>
    <definedName name="rbr" localSheetId="2">'minerals'!$K$47</definedName>
    <definedName name="rbr">'database'!#REF!</definedName>
    <definedName name="rcc" localSheetId="2">'minerals'!$K$55</definedName>
    <definedName name="rcc">'database'!#REF!</definedName>
    <definedName name="rchum" localSheetId="2">'minerals'!$K$48</definedName>
    <definedName name="rchum">'database'!#REF!</definedName>
    <definedName name="rclin" localSheetId="2">'minerals'!$K$36</definedName>
    <definedName name="rclin">'database'!#REF!</definedName>
    <definedName name="rcoe" localSheetId="2">'minerals'!$K$7</definedName>
    <definedName name="rcoe">'database'!#REF!</definedName>
    <definedName name="rczo" localSheetId="2">'minerals'!$K$40</definedName>
    <definedName name="rczo">'database'!#REF!</definedName>
    <definedName name="rdaph" localSheetId="2">'minerals'!$K$37</definedName>
    <definedName name="rdaph">'database'!#REF!</definedName>
    <definedName name="rdi" localSheetId="2">'minerals'!$K$20</definedName>
    <definedName name="rdi">'database'!#REF!</definedName>
    <definedName name="ren" localSheetId="2">'minerals'!$K$18</definedName>
    <definedName name="ren">'database'!#REF!</definedName>
    <definedName name="rep" localSheetId="2">'minerals'!$K$41</definedName>
    <definedName name="rep">'database'!#REF!</definedName>
    <definedName name="rfa" localSheetId="2">'minerals'!$K$17</definedName>
    <definedName name="rfa">'database'!#REF!</definedName>
    <definedName name="rfgl" localSheetId="2">'minerals'!$K$24</definedName>
    <definedName name="rfgl">'database'!#REF!</definedName>
    <definedName name="rfo" localSheetId="2">'minerals'!$K$16</definedName>
    <definedName name="rfo">'database'!#REF!</definedName>
    <definedName name="rfs" localSheetId="2">'minerals'!$K$19</definedName>
    <definedName name="rfs">'database'!#REF!</definedName>
    <definedName name="rgl" localSheetId="2">'minerals'!$K$23</definedName>
    <definedName name="rgl">'database'!#REF!</definedName>
    <definedName name="rgrs" localSheetId="2">'minerals'!$K$14</definedName>
    <definedName name="rgrs">'database'!#REF!</definedName>
    <definedName name="rhab" localSheetId="2">'minerals'!$K$8</definedName>
    <definedName name="rhab">'database'!#REF!</definedName>
    <definedName name="rhb" localSheetId="2">'minerals'!$K$29</definedName>
    <definedName name="rhb">'database'!#REF!</definedName>
    <definedName name="rhd" localSheetId="2">'minerals'!$K$21</definedName>
    <definedName name="rhd">'database'!#REF!</definedName>
    <definedName name="rHerc" localSheetId="2">'minerals'!$K$53</definedName>
    <definedName name="rHerc">'database'!#REF!</definedName>
    <definedName name="rjd" localSheetId="2">'minerals'!$K$22</definedName>
    <definedName name="rjd">'database'!#REF!</definedName>
    <definedName name="rky" localSheetId="2">'minerals'!$K$51</definedName>
    <definedName name="rky">'database'!#REF!</definedName>
    <definedName name="rlab" localSheetId="2">'minerals'!$K$9</definedName>
    <definedName name="rlab">'database'!#REF!</definedName>
    <definedName name="rlaw" localSheetId="2">'minerals'!$K$42</definedName>
    <definedName name="rlaw">'database'!#REF!</definedName>
    <definedName name="rlm" localSheetId="2">'minerals'!$K$45</definedName>
    <definedName name="rlm">'database'!#REF!</definedName>
    <definedName name="rMagn" localSheetId="2">'minerals'!$K$54</definedName>
    <definedName name="rMagn">'database'!#REF!</definedName>
    <definedName name="rms" localSheetId="2">'minerals'!$K$33</definedName>
    <definedName name="rms">'database'!#REF!</definedName>
    <definedName name="rOr" localSheetId="2">'minerals'!$K$11</definedName>
    <definedName name="rOr">'database'!#REF!</definedName>
    <definedName name="rparg" localSheetId="2">'minerals'!$K$28</definedName>
    <definedName name="rparg">'database'!#REF!</definedName>
    <definedName name="rphl" localSheetId="2">'minerals'!$K$31</definedName>
    <definedName name="rphl">'database'!#REF!</definedName>
    <definedName name="rpm" localSheetId="2">'minerals'!$K$44</definedName>
    <definedName name="rpm">'database'!#REF!</definedName>
    <definedName name="rpr" localSheetId="2">'minerals'!$K$43</definedName>
    <definedName name="rpr">'database'!#REF!</definedName>
    <definedName name="rprp" localSheetId="2">'minerals'!$K$15</definedName>
    <definedName name="rprp">'database'!#REF!</definedName>
    <definedName name="rReuss">'rocks'!$68:$68</definedName>
    <definedName name="rsan" localSheetId="2">'minerals'!$K$12</definedName>
    <definedName name="rsan">'database'!#REF!</definedName>
    <definedName name="rSil" localSheetId="2">'minerals'!$K$50</definedName>
    <definedName name="rSil">'database'!#REF!</definedName>
    <definedName name="rSpl" localSheetId="2">'minerals'!$K$52</definedName>
    <definedName name="rSpl">'database'!#REF!</definedName>
    <definedName name="rta" localSheetId="2">'minerals'!$K$35</definedName>
    <definedName name="rta">'database'!#REF!</definedName>
    <definedName name="rtr" localSheetId="2">'minerals'!$K$25</definedName>
    <definedName name="rtr">'database'!#REF!</definedName>
    <definedName name="rts" localSheetId="2">'minerals'!$K$27</definedName>
    <definedName name="rts">'database'!#REF!</definedName>
    <definedName name="rVoigt">'rocks'!$67:$67</definedName>
    <definedName name="rVRH">'rocks'!$69:$69</definedName>
    <definedName name="rwr" localSheetId="2">'minerals'!$K$46</definedName>
    <definedName name="rwr">'database'!#REF!</definedName>
    <definedName name="rzo" localSheetId="2">'minerals'!$K$39</definedName>
    <definedName name="rzo">'database'!#REF!</definedName>
    <definedName name="scB">#REF!</definedName>
    <definedName name="scbB">#REF!</definedName>
    <definedName name="scbM">#REF!</definedName>
    <definedName name="scbP">#REF!</definedName>
    <definedName name="scbVp">#REF!</definedName>
    <definedName name="scM">#REF!</definedName>
    <definedName name="scP">#REF!</definedName>
    <definedName name="scVp">#REF!</definedName>
    <definedName name="sum">'rocks'!$61:$61</definedName>
    <definedName name="TC">'rocks'!#REF!</definedName>
    <definedName name="temperature">'rocks'!#REF!</definedName>
    <definedName name="uA" localSheetId="2">'minerals'!$J$49</definedName>
    <definedName name="uA">'database'!#REF!</definedName>
    <definedName name="uac" localSheetId="2">'minerals'!$J$26</definedName>
    <definedName name="uac">'database'!#REF!</definedName>
    <definedName name="ualm" localSheetId="2">'minerals'!$J$13</definedName>
    <definedName name="ualm">'database'!#REF!</definedName>
    <definedName name="uan" localSheetId="2">'minerals'!$J$10</definedName>
    <definedName name="uan">'database'!#REF!</definedName>
    <definedName name="uann" localSheetId="2">'minerals'!$J$32</definedName>
    <definedName name="uann">'database'!#REF!</definedName>
    <definedName name="uanth" localSheetId="2">'minerals'!$J$30</definedName>
    <definedName name="uanth">'database'!#REF!</definedName>
    <definedName name="uaqz" localSheetId="2">'minerals'!$J$5</definedName>
    <definedName name="uaqz">'database'!#REF!</definedName>
    <definedName name="uar" localSheetId="2">'minerals'!$J$56</definedName>
    <definedName name="uar">'database'!#REF!</definedName>
    <definedName name="uatg" localSheetId="2">'minerals'!$J$38</definedName>
    <definedName name="uatg">'database'!#REF!</definedName>
    <definedName name="ubqz" localSheetId="2">'minerals'!$J$6</definedName>
    <definedName name="ubqz">'database'!#REF!</definedName>
    <definedName name="ubr" localSheetId="2">'minerals'!$J$47</definedName>
    <definedName name="ubr">'database'!#REF!</definedName>
    <definedName name="ucc" localSheetId="2">'minerals'!$J$55</definedName>
    <definedName name="ucc">'database'!#REF!</definedName>
    <definedName name="uchum" localSheetId="2">'minerals'!$J$48</definedName>
    <definedName name="uchum">'database'!#REF!</definedName>
    <definedName name="uclin" localSheetId="2">'minerals'!$J$36</definedName>
    <definedName name="uclin">'database'!#REF!</definedName>
    <definedName name="ucoe" localSheetId="2">'minerals'!$J$7</definedName>
    <definedName name="ucoe">'database'!#REF!</definedName>
    <definedName name="uczo" localSheetId="2">'minerals'!$J$40</definedName>
    <definedName name="uczo">'database'!#REF!</definedName>
    <definedName name="udaph" localSheetId="2">'minerals'!$J$37</definedName>
    <definedName name="udaph">'database'!#REF!</definedName>
    <definedName name="udi" localSheetId="2">'minerals'!$J$20</definedName>
    <definedName name="udi">'database'!#REF!</definedName>
    <definedName name="uen" localSheetId="2">'minerals'!$J$18</definedName>
    <definedName name="uen">'database'!#REF!</definedName>
    <definedName name="uep" localSheetId="2">'minerals'!$J$41</definedName>
    <definedName name="uep">'database'!#REF!</definedName>
    <definedName name="ufa" localSheetId="2">'minerals'!$J$17</definedName>
    <definedName name="ufa">'database'!#REF!</definedName>
    <definedName name="ufgl" localSheetId="2">'minerals'!$J$24</definedName>
    <definedName name="ufgl">'database'!#REF!</definedName>
    <definedName name="ufo" localSheetId="2">'minerals'!$J$16</definedName>
    <definedName name="ufo">'database'!#REF!</definedName>
    <definedName name="ufs" localSheetId="2">'minerals'!$J$19</definedName>
    <definedName name="ufs">'database'!#REF!</definedName>
    <definedName name="ugl" localSheetId="2">'minerals'!$J$23</definedName>
    <definedName name="ugl">'database'!#REF!</definedName>
    <definedName name="ugrs" localSheetId="2">'minerals'!$J$14</definedName>
    <definedName name="ugrs">'database'!#REF!</definedName>
    <definedName name="uhab" localSheetId="2">'minerals'!$J$8</definedName>
    <definedName name="uhab">'database'!#REF!</definedName>
    <definedName name="uhb" localSheetId="2">'minerals'!$J$29</definedName>
    <definedName name="uhb">'database'!#REF!</definedName>
    <definedName name="uhd" localSheetId="2">'minerals'!$J$21</definedName>
    <definedName name="uhd">'database'!#REF!</definedName>
    <definedName name="uHerc" localSheetId="2">'minerals'!$J$53</definedName>
    <definedName name="uHerc">'database'!#REF!</definedName>
    <definedName name="ujd" localSheetId="2">'minerals'!$J$22</definedName>
    <definedName name="ujd">'database'!#REF!</definedName>
    <definedName name="uky" localSheetId="2">'minerals'!$J$51</definedName>
    <definedName name="uky">'database'!#REF!</definedName>
    <definedName name="ulab" localSheetId="2">'minerals'!$J$9</definedName>
    <definedName name="ulab">'database'!#REF!</definedName>
    <definedName name="ulaw" localSheetId="2">'minerals'!$J$42</definedName>
    <definedName name="ulaw">'database'!#REF!</definedName>
    <definedName name="ulm" localSheetId="2">'minerals'!$J$45</definedName>
    <definedName name="ulm">'database'!#REF!</definedName>
    <definedName name="uMagn" localSheetId="2">'minerals'!$J$54</definedName>
    <definedName name="uMagn">'database'!#REF!</definedName>
    <definedName name="ums" localSheetId="2">'minerals'!$J$33</definedName>
    <definedName name="ums">'database'!#REF!</definedName>
    <definedName name="unaltHzB">#REF!</definedName>
    <definedName name="unaltHzM">#REF!</definedName>
    <definedName name="unaltHzP">#REF!</definedName>
    <definedName name="unaltHzVp">#REF!</definedName>
    <definedName name="uor" localSheetId="2">'minerals'!#REF!</definedName>
    <definedName name="uor">'database'!$L$11</definedName>
    <definedName name="uparg" localSheetId="2">'minerals'!$J$28</definedName>
    <definedName name="uparg">'database'!#REF!</definedName>
    <definedName name="uphl" localSheetId="2">'minerals'!$J$31</definedName>
    <definedName name="uphl">'database'!#REF!</definedName>
    <definedName name="upm" localSheetId="2">'minerals'!$J$44</definedName>
    <definedName name="upm">'database'!#REF!</definedName>
    <definedName name="upr" localSheetId="2">'minerals'!$J$43</definedName>
    <definedName name="upr">'database'!#REF!</definedName>
    <definedName name="uprp" localSheetId="2">'minerals'!$J$15</definedName>
    <definedName name="uprp">'database'!#REF!</definedName>
    <definedName name="uqz" localSheetId="2">'minerals'!$J$5</definedName>
    <definedName name="uqz">'database'!#REF!</definedName>
    <definedName name="usan" localSheetId="2">'minerals'!$J$12</definedName>
    <definedName name="usan">'database'!#REF!</definedName>
    <definedName name="usil" localSheetId="2">'minerals'!#REF!</definedName>
    <definedName name="usil">'database'!$L$53</definedName>
    <definedName name="uSpl" localSheetId="2">'minerals'!$J$52</definedName>
    <definedName name="uSpl">'database'!#REF!</definedName>
    <definedName name="usps" localSheetId="2">'minerals'!#REF!</definedName>
    <definedName name="usps">'database'!#REF!</definedName>
    <definedName name="uta" localSheetId="2">'minerals'!$J$35</definedName>
    <definedName name="uta">'database'!#REF!</definedName>
    <definedName name="utr" localSheetId="2">'minerals'!$J$25</definedName>
    <definedName name="utr">'database'!#REF!</definedName>
    <definedName name="uts" localSheetId="2">'minerals'!$J$27</definedName>
    <definedName name="uts">'database'!#REF!</definedName>
    <definedName name="uVRH">'rocks'!#REF!</definedName>
    <definedName name="uwr" localSheetId="2">'minerals'!$J$46</definedName>
    <definedName name="uwr">'database'!#REF!</definedName>
    <definedName name="uzo" localSheetId="2">'minerals'!$J$39</definedName>
    <definedName name="uzo">'database'!#REF!</definedName>
    <definedName name="vlab" localSheetId="2">'minerals'!#REF!</definedName>
    <definedName name="vlab">'database'!#REF!</definedName>
    <definedName name="vol10A" localSheetId="2">'minerals'!#REF!</definedName>
    <definedName name="vol10A">'database'!#REF!</definedName>
    <definedName name="volA" localSheetId="2">'minerals'!#REF!</definedName>
    <definedName name="volA">'database'!$C$52</definedName>
    <definedName name="volalm" localSheetId="2">'minerals'!#REF!</definedName>
    <definedName name="volalm">'database'!$C$13</definedName>
    <definedName name="volan" localSheetId="2">'minerals'!#REF!</definedName>
    <definedName name="volan">'database'!$C$10</definedName>
    <definedName name="volann" localSheetId="2">'minerals'!#REF!</definedName>
    <definedName name="volann">'database'!$C$35</definedName>
    <definedName name="volanth" localSheetId="2">'minerals'!#REF!</definedName>
    <definedName name="volanth">'database'!$C$33</definedName>
    <definedName name="volaqz" localSheetId="2">'minerals'!#REF!</definedName>
    <definedName name="volaqz">'database'!$C$5</definedName>
    <definedName name="volar" localSheetId="2">'minerals'!#REF!</definedName>
    <definedName name="volar">'database'!$C$59</definedName>
    <definedName name="volatg" localSheetId="2">'minerals'!#REF!</definedName>
    <definedName name="volatg">'database'!$C$41</definedName>
    <definedName name="volbqz" localSheetId="2">'minerals'!#REF!</definedName>
    <definedName name="volbqz">'database'!$C$6</definedName>
    <definedName name="volbr" localSheetId="2">'minerals'!#REF!</definedName>
    <definedName name="volbr">'database'!$C$50</definedName>
    <definedName name="volcc" localSheetId="2">'minerals'!#REF!</definedName>
    <definedName name="volcc">'database'!$C$58</definedName>
    <definedName name="volchum" localSheetId="2">'minerals'!#REF!</definedName>
    <definedName name="volchum">'database'!$C$51</definedName>
    <definedName name="volclin" localSheetId="2">'minerals'!#REF!</definedName>
    <definedName name="volclin">'database'!$C$39</definedName>
    <definedName name="volcoe" localSheetId="2">'minerals'!#REF!</definedName>
    <definedName name="volcoe">'database'!$C$7</definedName>
    <definedName name="volczo" localSheetId="2">'minerals'!#REF!</definedName>
    <definedName name="volczo">'database'!$C$43</definedName>
    <definedName name="voldaph" localSheetId="2">'minerals'!#REF!</definedName>
    <definedName name="voldaph">'database'!$C$40</definedName>
    <definedName name="voldi" localSheetId="2">'minerals'!#REF!</definedName>
    <definedName name="voldi">'database'!$C$21</definedName>
    <definedName name="volen" localSheetId="2">'minerals'!#REF!</definedName>
    <definedName name="volen">'database'!$C$18</definedName>
    <definedName name="volep" localSheetId="2">'minerals'!#REF!</definedName>
    <definedName name="volep">'database'!$C$44</definedName>
    <definedName name="volfa" localSheetId="2">'minerals'!#REF!</definedName>
    <definedName name="volfa">'database'!$C$17</definedName>
    <definedName name="volfact" localSheetId="2">'minerals'!#REF!</definedName>
    <definedName name="volfact">'database'!$C$29</definedName>
    <definedName name="volfgl" localSheetId="2">'minerals'!#REF!</definedName>
    <definedName name="volfgl">'database'!$C$27</definedName>
    <definedName name="volfo" localSheetId="2">'minerals'!#REF!</definedName>
    <definedName name="volfo">'database'!$C$16</definedName>
    <definedName name="volfs" localSheetId="2">'minerals'!#REF!</definedName>
    <definedName name="volfs">'database'!$C$19</definedName>
    <definedName name="volgl" localSheetId="2">'minerals'!#REF!</definedName>
    <definedName name="volgl">'database'!$C$26</definedName>
    <definedName name="volgrs" localSheetId="2">'minerals'!#REF!</definedName>
    <definedName name="volgrs">'database'!$C$14</definedName>
    <definedName name="volhab" localSheetId="2">'minerals'!#REF!</definedName>
    <definedName name="volhab">'database'!$C$8</definedName>
    <definedName name="volhb" localSheetId="2">'minerals'!#REF!</definedName>
    <definedName name="volhb">'database'!$C$32</definedName>
    <definedName name="volhd" localSheetId="2">'minerals'!#REF!</definedName>
    <definedName name="volhd">'database'!$C$22</definedName>
    <definedName name="volherc" localSheetId="2">'minerals'!#REF!</definedName>
    <definedName name="volherc">'database'!$C$56</definedName>
    <definedName name="voljd" localSheetId="2">'minerals'!#REF!</definedName>
    <definedName name="voljd">'database'!$C$23</definedName>
    <definedName name="volky" localSheetId="2">'minerals'!#REF!</definedName>
    <definedName name="volky">'database'!$C$54</definedName>
    <definedName name="vollab" localSheetId="2">'minerals'!#REF!</definedName>
    <definedName name="vollab">'database'!$C$9</definedName>
    <definedName name="vollaw" localSheetId="2">'minerals'!#REF!</definedName>
    <definedName name="vollaw">'database'!$C$45</definedName>
    <definedName name="vollm" localSheetId="2">'minerals'!#REF!</definedName>
    <definedName name="vollm">'database'!$C$48</definedName>
    <definedName name="volmagn" localSheetId="2">'minerals'!#REF!</definedName>
    <definedName name="volmagn">'database'!$C$57</definedName>
    <definedName name="volms" localSheetId="2">'minerals'!#REF!</definedName>
    <definedName name="volms">'database'!$C$36</definedName>
    <definedName name="volor" localSheetId="2">'minerals'!#REF!</definedName>
    <definedName name="volor">'database'!$C$11</definedName>
    <definedName name="volparg" localSheetId="2">'minerals'!#REF!</definedName>
    <definedName name="volparg">'database'!$C$31</definedName>
    <definedName name="volphl" localSheetId="2">'minerals'!#REF!</definedName>
    <definedName name="volphl">'database'!$C$34</definedName>
    <definedName name="volpm" localSheetId="2">'minerals'!#REF!</definedName>
    <definedName name="volpm">'database'!$C$47</definedName>
    <definedName name="volpr" localSheetId="2">'minerals'!#REF!</definedName>
    <definedName name="volpr">'database'!$C$46</definedName>
    <definedName name="volprp" localSheetId="2">'minerals'!#REF!</definedName>
    <definedName name="volprp">'database'!$C$15</definedName>
    <definedName name="volsan" localSheetId="2">'minerals'!#REF!</definedName>
    <definedName name="volsan">'database'!$C$12</definedName>
    <definedName name="volsil" localSheetId="2">'minerals'!#REF!</definedName>
    <definedName name="volsil">'database'!$C$53</definedName>
    <definedName name="volspl" localSheetId="2">'minerals'!#REF!</definedName>
    <definedName name="volspl">'database'!$C$55</definedName>
    <definedName name="volSum">'rocks'!#REF!</definedName>
    <definedName name="volta" localSheetId="2">'minerals'!#REF!</definedName>
    <definedName name="volta">'database'!$C$38</definedName>
    <definedName name="voltr" localSheetId="2">'minerals'!#REF!</definedName>
    <definedName name="voltr">'database'!$C$28</definedName>
    <definedName name="volts" localSheetId="2">'minerals'!#REF!</definedName>
    <definedName name="volts">'database'!$C$30</definedName>
    <definedName name="volwr" localSheetId="2">'minerals'!#REF!</definedName>
    <definedName name="volwr">'database'!$C$49</definedName>
    <definedName name="volzo" localSheetId="2">'minerals'!#REF!</definedName>
    <definedName name="volzo">'database'!$C$42</definedName>
    <definedName name="vpReuss">'rocks'!$71:$71</definedName>
    <definedName name="vpVoigt">'rocks'!$70:$70</definedName>
    <definedName name="VsReuss">'rocks'!#REF!</definedName>
    <definedName name="vsVoigt">'rocks'!#REF!</definedName>
    <definedName name="w10A" localSheetId="2">'minerals'!#REF!</definedName>
    <definedName name="w10A">'database'!#REF!</definedName>
    <definedName name="wA" localSheetId="2">'minerals'!#REF!</definedName>
    <definedName name="wA">'database'!$E$52</definedName>
    <definedName name="wac" localSheetId="2">'minerals'!#REF!</definedName>
    <definedName name="wac">'database'!$E$29</definedName>
    <definedName name="wann" localSheetId="2">'minerals'!#REF!</definedName>
    <definedName name="wann">'database'!$E$35</definedName>
    <definedName name="wanth" localSheetId="2">'minerals'!#REF!</definedName>
    <definedName name="wanth">'database'!$E$33</definedName>
    <definedName name="watg" localSheetId="2">'minerals'!#REF!</definedName>
    <definedName name="watg">'database'!$E$41</definedName>
    <definedName name="wbr" localSheetId="2">'minerals'!#REF!</definedName>
    <definedName name="wbr">'database'!$E$50</definedName>
    <definedName name="wchum" localSheetId="2">'minerals'!#REF!</definedName>
    <definedName name="wchum">'database'!$E$51</definedName>
    <definedName name="wclin" localSheetId="2">'minerals'!#REF!</definedName>
    <definedName name="wclin">'database'!$E$39</definedName>
    <definedName name="wczo" localSheetId="2">'minerals'!#REF!</definedName>
    <definedName name="wczo">'database'!$E$43</definedName>
    <definedName name="wdaph" localSheetId="2">'minerals'!#REF!</definedName>
    <definedName name="wdaph">'database'!$E$40</definedName>
    <definedName name="wep" localSheetId="2">'minerals'!#REF!</definedName>
    <definedName name="wep">'database'!$E$44</definedName>
    <definedName name="wfact" localSheetId="2">'minerals'!#REF!</definedName>
    <definedName name="wfact">'database'!$E$29</definedName>
    <definedName name="wfgl" localSheetId="2">'minerals'!#REF!</definedName>
    <definedName name="wfgl">'database'!$E$27</definedName>
    <definedName name="wgl" localSheetId="2">'minerals'!#REF!</definedName>
    <definedName name="wgl">'database'!$E$26</definedName>
    <definedName name="whb" localSheetId="2">'minerals'!#REF!</definedName>
    <definedName name="whb">'database'!$E$32</definedName>
    <definedName name="wlaw" localSheetId="2">'minerals'!#REF!</definedName>
    <definedName name="wlaw">'database'!$E$45</definedName>
    <definedName name="wlm" localSheetId="2">'minerals'!#REF!</definedName>
    <definedName name="wlm">'database'!$E$48</definedName>
    <definedName name="wms" localSheetId="2">'minerals'!#REF!</definedName>
    <definedName name="wms">'database'!$E$36</definedName>
    <definedName name="wparg" localSheetId="2">'minerals'!#REF!</definedName>
    <definedName name="wparg">'database'!$E$31</definedName>
    <definedName name="wphl" localSheetId="2">'minerals'!#REF!</definedName>
    <definedName name="wphl">'database'!$E$34</definedName>
    <definedName name="wpm" localSheetId="2">'minerals'!#REF!</definedName>
    <definedName name="wpm">'database'!$E$47</definedName>
    <definedName name="wpr" localSheetId="2">'minerals'!#REF!</definedName>
    <definedName name="wpr">'database'!$E$46</definedName>
    <definedName name="wta" localSheetId="2">'minerals'!#REF!</definedName>
    <definedName name="wta">'database'!$E$38</definedName>
    <definedName name="wtr" localSheetId="2">'minerals'!#REF!</definedName>
    <definedName name="wtr">'database'!$E$28</definedName>
    <definedName name="wts" localSheetId="2">'minerals'!#REF!</definedName>
    <definedName name="wts">'database'!$E$30</definedName>
    <definedName name="wwr" localSheetId="2">'minerals'!#REF!</definedName>
    <definedName name="wwr">'database'!$E$49</definedName>
    <definedName name="wzo" localSheetId="2">'minerals'!#REF!</definedName>
    <definedName name="wzo">'database'!$E$42</definedName>
  </definedNames>
  <calcPr fullCalcOnLoad="1"/>
</workbook>
</file>

<file path=xl/sharedStrings.xml><?xml version="1.0" encoding="utf-8"?>
<sst xmlns="http://schemas.openxmlformats.org/spreadsheetml/2006/main" count="1321" uniqueCount="676">
  <si>
    <t>olivine clinopyroxenite (Lippard, S.J., A.W. Shelton, and I.G. Gass, The Ophiolite of Northern Oman, 178 pp., Geological Society of London, London, 1986)</t>
  </si>
  <si>
    <t>harzburgite (Lippard, S.J., A.W. Shelton, and I.G. Gass, The Ophiolite of Northern Oman, 178 pp., Geological Society of London, London, 1986)</t>
  </si>
  <si>
    <t>pyrolite (Gubbins, D., A. Barnicoat, and J. Cann, Seismological constraints on the gabbro-eclogite transition in subducted oceanic crust, Earth and Planetary Science Letters, 122, 89-101, 1994)</t>
  </si>
  <si>
    <t>harzburgite (Gubbins, D., A. Barnicoat, and J. Cann, Seismological constraints on the gabbro-eclogite transition in subducted oceanic crust, Earth and Planetary Science Letters, 122, 89-101, 1994)</t>
  </si>
  <si>
    <t>[20]</t>
  </si>
  <si>
    <t>sanidine</t>
  </si>
  <si>
    <t>almandine</t>
  </si>
  <si>
    <t>grossular</t>
  </si>
  <si>
    <t>pyrope</t>
  </si>
  <si>
    <t>forsterite</t>
  </si>
  <si>
    <t>fayalite</t>
  </si>
  <si>
    <t>enstatite</t>
  </si>
  <si>
    <t>ferrosilite</t>
  </si>
  <si>
    <t>[17]</t>
  </si>
  <si>
    <t>first
Grüneisen
parameter</t>
  </si>
  <si>
    <t>gth</t>
  </si>
  <si>
    <t>daphnite</t>
  </si>
  <si>
    <t>antigorite</t>
  </si>
  <si>
    <t>zoisite</t>
  </si>
  <si>
    <t>clinozoisite</t>
  </si>
  <si>
    <t>epidote</t>
  </si>
  <si>
    <t>lawsonite</t>
  </si>
  <si>
    <t>prehnite</t>
  </si>
  <si>
    <t>pumpellyite</t>
  </si>
  <si>
    <t>laumontite</t>
  </si>
  <si>
    <t>wairakite</t>
  </si>
  <si>
    <t>brucite</t>
  </si>
  <si>
    <t>phase A</t>
  </si>
  <si>
    <t>sillimanite</t>
  </si>
  <si>
    <t>kyanite</t>
  </si>
  <si>
    <t>spinel</t>
  </si>
  <si>
    <t>hercynite</t>
  </si>
  <si>
    <t>magnetite</t>
  </si>
  <si>
    <t>calcite</t>
  </si>
  <si>
    <t>aragonite</t>
  </si>
  <si>
    <t>SiO2</t>
  </si>
  <si>
    <t>NaAlSi3O8</t>
  </si>
  <si>
    <t>CaAl2Si2O8</t>
  </si>
  <si>
    <t>KAlSi3O8</t>
  </si>
  <si>
    <t>Fe3Al2Si3O12</t>
  </si>
  <si>
    <t>Ca3Al2Si3O12</t>
  </si>
  <si>
    <t>Mg3Al2Si3O12</t>
  </si>
  <si>
    <t>Mg2SiO4</t>
  </si>
  <si>
    <t>Fe2SiO4</t>
  </si>
  <si>
    <t>Mg2Si2O6</t>
  </si>
  <si>
    <t>Fe2Si2O6</t>
  </si>
  <si>
    <t>CaMgSi2O6</t>
  </si>
  <si>
    <t>CaFeSi2O6</t>
  </si>
  <si>
    <t>diabase 504B (Alt, J.C., H. Kinoshita, L.B. Stokking, et al., Proceedings of the Ocean Drilling Program, Initial Reports, 148, 1993)</t>
  </si>
  <si>
    <t>gabbronorite Oman (Lippard, S.J., A.W. Shelton, and I.G. Gass, The Ophiolite of Northern Oman, 178 pp., Geological Society of London, London, 1986)</t>
  </si>
  <si>
    <t>olivine gabbro Oman (Browning, P., Cryptic variation within the cumulate sequence of the Oman ophiolite: magma chamber depth and petrological implications, in Ophiolites and oceanic lithosphere, Geological Society Special Publications, edited by I.G. Gass, S.J. Lippard, and  A.W. Shelton, pp. 71-82, Geological Society of London, London, 1984)</t>
  </si>
  <si>
    <t>Fe olivine</t>
  </si>
  <si>
    <t>Mg olivine</t>
  </si>
  <si>
    <t>Mg garnet</t>
  </si>
  <si>
    <t>Ca garnet</t>
  </si>
  <si>
    <t>Fe garnet</t>
  </si>
  <si>
    <t>Mg biotite</t>
  </si>
  <si>
    <t>Fe biotite</t>
  </si>
  <si>
    <t>Fe chlorite</t>
  </si>
  <si>
    <t>high-T serpentine</t>
  </si>
  <si>
    <t>low-P epidote group</t>
  </si>
  <si>
    <t>high-P epidote group</t>
  </si>
  <si>
    <t>Fe epidote</t>
  </si>
  <si>
    <t>high-T aluminumsilicate</t>
  </si>
  <si>
    <t>high-P aluminumsilicate</t>
  </si>
  <si>
    <t>MgAl spinel</t>
  </si>
  <si>
    <t>FeAl spinel</t>
  </si>
  <si>
    <t>FeFe spinel</t>
  </si>
  <si>
    <t>name</t>
  </si>
  <si>
    <t>formula</t>
  </si>
  <si>
    <t>explanation</t>
  </si>
  <si>
    <t>Ca2Al3Si3O12(OH)</t>
  </si>
  <si>
    <t>CaAl2Si2O7(OH)2•H2O</t>
  </si>
  <si>
    <t>Mg7Si2O8(OH)6</t>
  </si>
  <si>
    <t>high-P sheet silicate</t>
  </si>
  <si>
    <t>Ca4MgAl5Si6O21(OH)7</t>
  </si>
  <si>
    <t>Mg7Si8O22(OH)2</t>
  </si>
  <si>
    <t>Na2Mg3Al2Si8O22(OH)2</t>
  </si>
  <si>
    <t>Na2Fe3Al2Si8O22(OH)2</t>
  </si>
  <si>
    <t>Ca2Mg3Al4Si6O22(OH)2</t>
  </si>
  <si>
    <t>NaCa2Mg4Al3Si6O22(OH)2</t>
  </si>
  <si>
    <t>Physical properties calculated with Hashin-Shtrikman average:</t>
  </si>
  <si>
    <t>Physical properties calculated with Hashin-Shtrikman, Voigt and Reuss bounds:</t>
  </si>
  <si>
    <t>Vp H-S max</t>
  </si>
  <si>
    <t>Vp H-S min</t>
  </si>
  <si>
    <t>Vs H-S max</t>
  </si>
  <si>
    <t>Vs H-S min</t>
  </si>
  <si>
    <t>K H-S max</t>
  </si>
  <si>
    <t>K H-S min</t>
  </si>
  <si>
    <t>G H-S max</t>
  </si>
  <si>
    <t>G H-S min</t>
  </si>
  <si>
    <t>finite</t>
  </si>
  <si>
    <t>strain</t>
  </si>
  <si>
    <t>Explanation: This sheet contains mineral properties calculated for the P and T shown to the left. (To change P &amp; T, execute the macro.)</t>
  </si>
  <si>
    <t>END</t>
  </si>
  <si>
    <t>None of these values are constants and all are overwritten each time the macro is executed.</t>
  </si>
  <si>
    <t>Explanation: This sheet is the mineral properties database. None of these values are recalculated--all are constants or scaled from others (see notes).</t>
  </si>
  <si>
    <t>Sum</t>
  </si>
  <si>
    <t>dunite</t>
  </si>
  <si>
    <t>lhz U</t>
  </si>
  <si>
    <t>MgAl amphibole</t>
  </si>
  <si>
    <t>NaCaMgAl amphibole</t>
  </si>
  <si>
    <t>high-P CaAl silicate</t>
  </si>
  <si>
    <t>low-P CaAl silicate</t>
  </si>
  <si>
    <t>low-T CaAl silicate</t>
  </si>
  <si>
    <t>hydroxide</t>
  </si>
  <si>
    <t>clinohumite</t>
  </si>
  <si>
    <t>hydrated olivine'</t>
  </si>
  <si>
    <t>shear
modulus
(Pa)</t>
  </si>
  <si>
    <t>isothermal
bulk
modulus
(Pa)</t>
  </si>
  <si>
    <t>[13]</t>
  </si>
  <si>
    <t>[9]</t>
  </si>
  <si>
    <t>B95</t>
  </si>
  <si>
    <t>[7]</t>
  </si>
  <si>
    <t>[10]</t>
  </si>
  <si>
    <t>[3]</t>
  </si>
  <si>
    <t>H96</t>
  </si>
  <si>
    <t>lherzolite (Ernst, W.G., Petrochemical study of lherzolitic rocks from the Western Alps, J. Petrol., 19, 341-392, 1978)</t>
  </si>
  <si>
    <t>zeolite facies</t>
  </si>
  <si>
    <t>prehnite-pumpellyite facies</t>
  </si>
  <si>
    <t>pumpellyite-actinolite facies</t>
  </si>
  <si>
    <t>greenschist facies</t>
  </si>
  <si>
    <t>epidote amphibolite facies</t>
  </si>
  <si>
    <t>garnet amphibolite facies</t>
  </si>
  <si>
    <t>epidote garnet amphibolite facies</t>
  </si>
  <si>
    <t>amphibolite facies</t>
  </si>
  <si>
    <t>granulite facies</t>
  </si>
  <si>
    <t>garnet granulite facies</t>
  </si>
  <si>
    <t>lawsonite blueschist facies</t>
  </si>
  <si>
    <t>jadeite lawsonite blueschist facies</t>
  </si>
  <si>
    <t>epidote blueschist</t>
  </si>
  <si>
    <t>jadeite epidote blueschist</t>
  </si>
  <si>
    <t>zoisite amphibole eclogite</t>
  </si>
  <si>
    <t>amphibole eclogite</t>
  </si>
  <si>
    <t>zoisite eclogite</t>
  </si>
  <si>
    <t>lawsonite amphibole eclogite</t>
  </si>
  <si>
    <t>eclogite</t>
  </si>
  <si>
    <t>coesite eclogite</t>
  </si>
  <si>
    <t>diamond eclogite</t>
  </si>
  <si>
    <t>lhz M</t>
  </si>
  <si>
    <t>hz G</t>
  </si>
  <si>
    <t>atg C</t>
  </si>
  <si>
    <t>phyllosilicate</t>
  </si>
  <si>
    <t>Mg chlorite</t>
  </si>
  <si>
    <t>low-Si K white mica</t>
  </si>
  <si>
    <t>The user can, of course, change these constants as desired.</t>
  </si>
  <si>
    <t>All green cells are calculated and should not be modified by the user.</t>
  </si>
  <si>
    <t>Explanation: This sheet consists of specified rock compositions, specified pressures and temperatures, and calculated rock properties.</t>
  </si>
  <si>
    <t>coe</t>
  </si>
  <si>
    <t>1/K</t>
  </si>
  <si>
    <t>Pa</t>
  </si>
  <si>
    <t>chum</t>
  </si>
  <si>
    <t>P(GPa)</t>
  </si>
  <si>
    <t>T(°C)</t>
  </si>
  <si>
    <t>ep</t>
  </si>
  <si>
    <t>zo</t>
  </si>
  <si>
    <t>Vp</t>
  </si>
  <si>
    <t>anth</t>
  </si>
  <si>
    <t>an</t>
  </si>
  <si>
    <t>alm</t>
  </si>
  <si>
    <t>jd</t>
  </si>
  <si>
    <t>en</t>
  </si>
  <si>
    <t>fo</t>
  </si>
  <si>
    <t>ta</t>
  </si>
  <si>
    <t>py</t>
  </si>
  <si>
    <t>Ks(T,P)</t>
  </si>
  <si>
    <t>fgl</t>
  </si>
  <si>
    <t>fact</t>
  </si>
  <si>
    <t>fa</t>
  </si>
  <si>
    <t>hb</t>
  </si>
  <si>
    <t>gl</t>
  </si>
  <si>
    <t>cc</t>
  </si>
  <si>
    <t>atg</t>
  </si>
  <si>
    <t>br</t>
  </si>
  <si>
    <t>Kt(T,P)</t>
  </si>
  <si>
    <t>H2O</t>
  </si>
  <si>
    <t>atg E</t>
  </si>
  <si>
    <t>atg D</t>
  </si>
  <si>
    <t>G</t>
  </si>
  <si>
    <t>G prime</t>
  </si>
  <si>
    <t>G(T,0)</t>
  </si>
  <si>
    <t>G(T,P)</t>
  </si>
  <si>
    <t>Vp (km/s)</t>
  </si>
  <si>
    <t>Vs (km/s)</t>
  </si>
  <si>
    <t>K (GPa)</t>
  </si>
  <si>
    <t>Poissons</t>
  </si>
  <si>
    <t>rho (g/cm3)</t>
  </si>
  <si>
    <t>G (GPa)</t>
  </si>
  <si>
    <t>&lt;---</t>
  </si>
  <si>
    <t>P (GPa)</t>
  </si>
  <si>
    <t>T (°C)</t>
  </si>
  <si>
    <t>H2O (wt%)</t>
  </si>
  <si>
    <t>K VRH</t>
  </si>
  <si>
    <t>G VRH</t>
  </si>
  <si>
    <t>[21]</t>
  </si>
  <si>
    <t>wehrlite Oman (Lippard, S.J., A.W. Shelton, and I.G. Gass, The Ophiolite of Northern Oman, 178 pp., Geological Society of London, London, 1986)</t>
  </si>
  <si>
    <t>Explanation: This sheet consists of specified rock compositions, compiled from various sources.  Each can be copied into "rocks" if minerals are not changed.</t>
  </si>
  <si>
    <t>lhz T</t>
  </si>
  <si>
    <t>lhz W</t>
  </si>
  <si>
    <t>lhz S</t>
  </si>
  <si>
    <t>lhz V</t>
  </si>
  <si>
    <t>lhz Q</t>
  </si>
  <si>
    <t>lhz P</t>
  </si>
  <si>
    <t>lhz A</t>
  </si>
  <si>
    <t>lhz B</t>
  </si>
  <si>
    <t>lhz D</t>
  </si>
  <si>
    <t>lhz F</t>
  </si>
  <si>
    <t>lhz G</t>
  </si>
  <si>
    <t>lhz H</t>
  </si>
  <si>
    <t>lhz O</t>
  </si>
  <si>
    <t>lhz N</t>
  </si>
  <si>
    <t>lhz L</t>
  </si>
  <si>
    <t>hz K</t>
  </si>
  <si>
    <t>hz I</t>
  </si>
  <si>
    <t>hz J</t>
  </si>
  <si>
    <t>hz D</t>
  </si>
  <si>
    <t>hz C</t>
  </si>
  <si>
    <t>hz E</t>
  </si>
  <si>
    <t>hz A</t>
  </si>
  <si>
    <t>hz B</t>
  </si>
  <si>
    <t>coesite</t>
  </si>
  <si>
    <t>high albite</t>
  </si>
  <si>
    <t>expansivity 
(/K)</t>
  </si>
  <si>
    <t>notes and refs</t>
  </si>
  <si>
    <t>[19]</t>
  </si>
  <si>
    <t>C00</t>
  </si>
  <si>
    <t>PW96</t>
  </si>
  <si>
    <t>KT</t>
  </si>
  <si>
    <t>A01</t>
  </si>
  <si>
    <t>[15]</t>
  </si>
  <si>
    <t>C91</t>
  </si>
  <si>
    <t>HP98</t>
  </si>
  <si>
    <t>[8]</t>
  </si>
  <si>
    <t>A97</t>
  </si>
  <si>
    <t>[22]</t>
  </si>
  <si>
    <t>[4]</t>
  </si>
  <si>
    <t>AI95</t>
  </si>
  <si>
    <t>RA99</t>
  </si>
  <si>
    <t>C97</t>
  </si>
  <si>
    <t>AA97</t>
  </si>
  <si>
    <t>A88</t>
  </si>
  <si>
    <t>dKt/dP</t>
  </si>
  <si>
    <t>SOA00</t>
  </si>
  <si>
    <t>low albite</t>
  </si>
  <si>
    <t>anorthite</t>
  </si>
  <si>
    <t>orthoclase</t>
  </si>
  <si>
    <t>[11]</t>
  </si>
  <si>
    <t>[12]</t>
  </si>
  <si>
    <t>gamma</t>
  </si>
  <si>
    <t>[14]</t>
  </si>
  <si>
    <t>[16]</t>
  </si>
  <si>
    <t>second
Grüneisen
parameter</t>
  </si>
  <si>
    <t>[18]</t>
  </si>
  <si>
    <t>F95</t>
  </si>
  <si>
    <t>C95</t>
  </si>
  <si>
    <t>[5]</t>
  </si>
  <si>
    <t>cel</t>
  </si>
  <si>
    <t>S00</t>
  </si>
  <si>
    <t>[2]</t>
  </si>
  <si>
    <t>KT prime</t>
  </si>
  <si>
    <t>dT</t>
  </si>
  <si>
    <t>a0</t>
  </si>
  <si>
    <t>alpha(T,0)</t>
  </si>
  <si>
    <t>rho(T,0)</t>
  </si>
  <si>
    <t>alpha(T,P)</t>
  </si>
  <si>
    <t>rho(T,P)</t>
  </si>
  <si>
    <t>V bulk</t>
  </si>
  <si>
    <t>ratio</t>
  </si>
  <si>
    <t>gfw</t>
  </si>
  <si>
    <t>clin</t>
  </si>
  <si>
    <t>daph</t>
  </si>
  <si>
    <t>Vs</t>
  </si>
  <si>
    <t>kg/m3</t>
  </si>
  <si>
    <t>phase</t>
  </si>
  <si>
    <t>ann</t>
  </si>
  <si>
    <t>or</t>
  </si>
  <si>
    <t>vol%</t>
  </si>
  <si>
    <t>law</t>
  </si>
  <si>
    <t>hAb</t>
  </si>
  <si>
    <t>lAb</t>
  </si>
  <si>
    <t>ts</t>
  </si>
  <si>
    <t>san</t>
  </si>
  <si>
    <t>di</t>
  </si>
  <si>
    <t>tr</t>
  </si>
  <si>
    <t>V</t>
  </si>
  <si>
    <t>parg</t>
  </si>
  <si>
    <t>km/s</t>
  </si>
  <si>
    <t>Kt(T,0)</t>
  </si>
  <si>
    <t>aqz</t>
  </si>
  <si>
    <t>bqz</t>
  </si>
  <si>
    <t>phl</t>
  </si>
  <si>
    <t>NaAlSi2O6</t>
  </si>
  <si>
    <t>Ca2Mg5Si8O22(OH)2</t>
  </si>
  <si>
    <t>Ca2Fe5Si8O22(OH)2</t>
  </si>
  <si>
    <t>Al2SiO5</t>
  </si>
  <si>
    <t>MgAl2O4</t>
  </si>
  <si>
    <t>FeAl2O4</t>
  </si>
  <si>
    <t>FeFe2O4</t>
  </si>
  <si>
    <t>CaCO3</t>
  </si>
  <si>
    <t>carbonate</t>
  </si>
  <si>
    <t>tectosilicate</t>
  </si>
  <si>
    <t>high-T plagioclase</t>
  </si>
  <si>
    <t>low-T plagioclase</t>
  </si>
  <si>
    <t>plagioclase</t>
  </si>
  <si>
    <t>low-T alkali feldspar</t>
  </si>
  <si>
    <t>high-T alkali feldspar</t>
  </si>
  <si>
    <t>hz H</t>
  </si>
  <si>
    <t>hz F</t>
  </si>
  <si>
    <t>atg B</t>
  </si>
  <si>
    <t>atg A</t>
  </si>
  <si>
    <t>A04</t>
  </si>
  <si>
    <t>BA03</t>
  </si>
  <si>
    <t>Vp Voigt</t>
  </si>
  <si>
    <t>Vp Reuss</t>
  </si>
  <si>
    <t>Vs Voigt</t>
  </si>
  <si>
    <t>Vs Reuss</t>
  </si>
  <si>
    <t>K Voigt</t>
  </si>
  <si>
    <t>K Reuss</t>
  </si>
  <si>
    <t>G Voigt</t>
  </si>
  <si>
    <t>G Reuss</t>
  </si>
  <si>
    <t>Vp VRH</t>
  </si>
  <si>
    <t>Vs VRH</t>
  </si>
  <si>
    <t>P03</t>
  </si>
  <si>
    <t>dlnG/
dlnr</t>
  </si>
  <si>
    <t>dG/dP</t>
  </si>
  <si>
    <t>KFe3AlSi3O10(OH)2</t>
  </si>
  <si>
    <t>KMg3AlSi3O10(OH)2</t>
  </si>
  <si>
    <t>T03</t>
  </si>
  <si>
    <r>
      <t xml:space="preserve">The </t>
    </r>
    <r>
      <rPr>
        <i/>
        <sz val="12"/>
        <color indexed="8"/>
        <rFont val="Tms Rmn"/>
        <family val="0"/>
      </rPr>
      <t>values</t>
    </r>
    <r>
      <rPr>
        <sz val="12"/>
        <color indexed="8"/>
        <rFont val="Tms Rmn"/>
        <family val="0"/>
      </rPr>
      <t xml:space="preserve"> of all yellow cells are modifiable by the user; the </t>
    </r>
    <r>
      <rPr>
        <i/>
        <sz val="12"/>
        <color indexed="8"/>
        <rFont val="Tms Rmn"/>
        <family val="0"/>
      </rPr>
      <t>positions</t>
    </r>
    <r>
      <rPr>
        <sz val="12"/>
        <color indexed="8"/>
        <rFont val="Tms Rmn"/>
        <family val="0"/>
      </rPr>
      <t xml:space="preserve"> of the yellow cells should not be changed by the user.</t>
    </r>
  </si>
  <si>
    <t>Poisson's</t>
  </si>
  <si>
    <t>fs</t>
  </si>
  <si>
    <t>gr</t>
  </si>
  <si>
    <t>hed</t>
  </si>
  <si>
    <t>pre</t>
  </si>
  <si>
    <t>pump</t>
  </si>
  <si>
    <t>cz</t>
  </si>
  <si>
    <t>mu</t>
  </si>
  <si>
    <t>arag</t>
  </si>
  <si>
    <t>lmt</t>
  </si>
  <si>
    <t>wrk</t>
  </si>
  <si>
    <t>phA</t>
  </si>
  <si>
    <t>sill</t>
  </si>
  <si>
    <t>ky</t>
  </si>
  <si>
    <t>sp</t>
  </si>
  <si>
    <t>herc</t>
  </si>
  <si>
    <t>mt</t>
  </si>
  <si>
    <t>gram
formula
weight
(g/mol)</t>
  </si>
  <si>
    <t>molar
volume
(cm3/mol)</t>
  </si>
  <si>
    <t>density
@298K
(kg/m3)</t>
  </si>
  <si>
    <t xml:space="preserve">wt%
H2O
</t>
  </si>
  <si>
    <t>r298</t>
  </si>
  <si>
    <t>KAl3Si3O10(OH)2</t>
  </si>
  <si>
    <t>KMgAlSi4O10(OH)2</t>
  </si>
  <si>
    <t>Mg3Si4O10(OH)2</t>
  </si>
  <si>
    <t>Mg5Al2Si3O10(OH)8</t>
  </si>
  <si>
    <t>Fe5Al2Si3O10(OH)8</t>
  </si>
  <si>
    <t>Ca2FeAl2Si3O12(OH)</t>
  </si>
  <si>
    <t>CaAl2Si4O12•H2O</t>
  </si>
  <si>
    <t>CaAl2Si4O12•4H2O</t>
  </si>
  <si>
    <t>high-T zeolite</t>
  </si>
  <si>
    <t>low-T zeolite</t>
  </si>
  <si>
    <t>Mg(OH2)</t>
  </si>
  <si>
    <t>Ca2Al2Si3O10(OH)2</t>
  </si>
  <si>
    <t>Mg9Si4O16(OH)2</t>
  </si>
  <si>
    <t>Ca2(Mg,Fe)4(Al,Fe)Si7AlO22(OH)2</t>
  </si>
  <si>
    <t>generic amphibole</t>
  </si>
  <si>
    <t>Mg orthoamphibole</t>
  </si>
  <si>
    <t>lherzolite, basal (Lippard, S.J., A.W. Shelton, and I.G. Gass, The Ophiolite of Northern Oman, 178 pp., Geological Society of London, London, 1986)</t>
  </si>
  <si>
    <t>diopside</t>
  </si>
  <si>
    <t>hedenbergite</t>
  </si>
  <si>
    <t>jadeite</t>
  </si>
  <si>
    <t>glaucophane</t>
  </si>
  <si>
    <t>ferroglaucophane</t>
  </si>
  <si>
    <t>tremolite</t>
  </si>
  <si>
    <t>ferroactinolite</t>
  </si>
  <si>
    <t>tschermakite</t>
  </si>
  <si>
    <t>pargasite</t>
  </si>
  <si>
    <t>hornblende</t>
  </si>
  <si>
    <t>anthophyllite</t>
  </si>
  <si>
    <t>phlogopite</t>
  </si>
  <si>
    <t>annite</t>
  </si>
  <si>
    <t>muscovite</t>
  </si>
  <si>
    <t>celadonite</t>
  </si>
  <si>
    <t>talc</t>
  </si>
  <si>
    <t>clinochlore</t>
  </si>
  <si>
    <t>high-Si K white mica</t>
  </si>
  <si>
    <t xml:space="preserve"> NaMg amphibole</t>
  </si>
  <si>
    <t>NaFe amphibole</t>
  </si>
  <si>
    <t>CaMg amphibole</t>
  </si>
  <si>
    <t>CaFe amphibole</t>
  </si>
  <si>
    <t>Mg orthopyroxene</t>
  </si>
  <si>
    <t>Fe orthopyroxene</t>
  </si>
  <si>
    <t>Mg clinopyroxene</t>
  </si>
  <si>
    <t>Fe clinopyroxene</t>
  </si>
  <si>
    <t>J04</t>
  </si>
  <si>
    <t>H</t>
  </si>
  <si>
    <t>O</t>
  </si>
  <si>
    <t>Na</t>
  </si>
  <si>
    <t>Mg</t>
  </si>
  <si>
    <t>Al</t>
  </si>
  <si>
    <t>Si</t>
  </si>
  <si>
    <t>K</t>
  </si>
  <si>
    <t>Ca</t>
  </si>
  <si>
    <t>Fe</t>
  </si>
  <si>
    <t>C</t>
  </si>
  <si>
    <t>working cells</t>
  </si>
  <si>
    <t>sum</t>
  </si>
  <si>
    <t>K2O</t>
  </si>
  <si>
    <t>Na2O</t>
  </si>
  <si>
    <t>CaO</t>
  </si>
  <si>
    <t>MgO</t>
  </si>
  <si>
    <t>FeO</t>
  </si>
  <si>
    <t>Al2O3</t>
  </si>
  <si>
    <t>CO2</t>
  </si>
  <si>
    <t xml:space="preserve">wt%
MgO
</t>
  </si>
  <si>
    <t xml:space="preserve">wt%
Al2O3
</t>
  </si>
  <si>
    <t xml:space="preserve">wt%
SiO2
</t>
  </si>
  <si>
    <t xml:space="preserve">wt%
K2O
</t>
  </si>
  <si>
    <t xml:space="preserve">wt%
CaO
</t>
  </si>
  <si>
    <t xml:space="preserve">wt%
FeO
</t>
  </si>
  <si>
    <t xml:space="preserve">wt%
CO2
</t>
  </si>
  <si>
    <t xml:space="preserve">wt%
Na2O
</t>
  </si>
  <si>
    <t>Vp/Vs</t>
  </si>
  <si>
    <t>SiO2 (wt%)</t>
  </si>
  <si>
    <t>Al2O3 (wt%)</t>
  </si>
  <si>
    <t>FeO (wt%)</t>
  </si>
  <si>
    <t>MgO (wt%)</t>
  </si>
  <si>
    <t>CaO (wt%)</t>
  </si>
  <si>
    <t>Na2O (wt%)</t>
  </si>
  <si>
    <t>K2O (wt%)</t>
  </si>
  <si>
    <t>CO2 (wt%)</t>
  </si>
  <si>
    <t>note 11, calculated using Poisson’s ratio for sillimanite and scaled against bulk modulus of sillimanite (structures are similar)</t>
  </si>
  <si>
    <t>note 12, calculated using Poisson’s ratio for orthoclase and scaled against bulk modulus of orthoclase (structures are similar)</t>
  </si>
  <si>
    <t>K04, Kung et al. [2004]</t>
  </si>
  <si>
    <t>The user should be aware that some of these approximations, while required to supplement an incomplete data set, must necessarily lead to uncertainties that can only be resolved with further physical measurements.</t>
  </si>
  <si>
    <t xml:space="preserve">from Holland and Powell [1998], except: </t>
  </si>
  <si>
    <t>A01, Angel et al. [2001]</t>
  </si>
  <si>
    <t>A88, Angel et al. [1988]</t>
  </si>
  <si>
    <t>A97, Angel et al. [1997]</t>
  </si>
  <si>
    <t>AA97, Allan and Angel [1997]</t>
  </si>
  <si>
    <t>AI95, Anderson and Isaak [1995]</t>
  </si>
  <si>
    <t>AJ02, Angel and Jackson [2002]</t>
  </si>
  <si>
    <t>A04, Angel [2004]</t>
  </si>
  <si>
    <t>B95, Bass [1995]</t>
  </si>
  <si>
    <t>BA03, Boffa Ballaran and Angel [2003]</t>
  </si>
  <si>
    <t>BH00, Bailey and Holloway [2000]</t>
  </si>
  <si>
    <t>C91, Comodi et al. [1991]</t>
  </si>
  <si>
    <t>C95, Comodi and Zanazzi [1995]</t>
  </si>
  <si>
    <t>note 13, assumed, common value [Anderson, 1989]</t>
  </si>
  <si>
    <t>C96, Christensen [1996]</t>
  </si>
  <si>
    <t>note 14, calculated at high T using Anderson and Isaak’s [1995] highest temperatures where dG/dT is nearly constant</t>
  </si>
  <si>
    <t>C97, Comodi et al. [1997]</t>
  </si>
  <si>
    <t>C00, Chinnery et al. [2000]</t>
  </si>
  <si>
    <t>note 16, approximated as gamma = dT [Anderson et al., 1992]</t>
  </si>
  <si>
    <t>CR02, Crichton and Ross [2002]</t>
  </si>
  <si>
    <t>F95, Fei [1995]</t>
  </si>
  <si>
    <t>G00, Grevel et al. [2000]</t>
  </si>
  <si>
    <t>H00, Haavik et al. [2000]</t>
  </si>
  <si>
    <r>
      <t>note 20, g</t>
    </r>
    <r>
      <rPr>
        <sz val="7.5"/>
        <rFont val="Tms Rmn"/>
        <family val="0"/>
      </rPr>
      <t xml:space="preserve">th </t>
    </r>
    <r>
      <rPr>
        <sz val="11"/>
        <rFont val="Tms Rmn"/>
        <family val="0"/>
      </rPr>
      <t>was calculated using Bina and Helffrichs’s [1992] equation (16) at 1000 K, using Holland and Powell’s [1998] values and d = 4</t>
    </r>
  </si>
  <si>
    <t>H96, Helffrich [1996]</t>
  </si>
  <si>
    <t>HF78, Hazen and Finger [1978]</t>
  </si>
  <si>
    <t>HP98, Holland and Powell [1998]</t>
  </si>
  <si>
    <t>J99, Jackson et al. [1999]</t>
  </si>
  <si>
    <t>L80, Levien et al. [1980]</t>
  </si>
  <si>
    <t>O95, Ohno [1995]</t>
  </si>
  <si>
    <t>P02, Pawley et al. [2002]</t>
  </si>
  <si>
    <t>P03, Pavese et al. [2003]</t>
  </si>
  <si>
    <t>PW96, Pawley and Wood [1996]</t>
  </si>
  <si>
    <t>RA99, Redfern and Angel [1999]</t>
  </si>
  <si>
    <t>S00, Smyth et al. [2000]</t>
  </si>
  <si>
    <t>SOA00, Suzuki et al. [2000]</t>
  </si>
  <si>
    <t>SB02, Sinogeikin and Bass [2002]</t>
  </si>
  <si>
    <t>T03, Theye et al. [2003]</t>
  </si>
  <si>
    <t>T91, Tyburczy [1991]</t>
  </si>
  <si>
    <t>WJ01, Wang and Ji [2001]</t>
  </si>
  <si>
    <t xml:space="preserve">X98, Xia et al. [1998]. </t>
  </si>
  <si>
    <t>S03, Schilling et al. [2003]</t>
  </si>
  <si>
    <t>S03</t>
  </si>
  <si>
    <t>J07, Jackson et al. [2007]</t>
  </si>
  <si>
    <t>J07</t>
  </si>
  <si>
    <t>SV09, Sanchez-Valle [2009]</t>
  </si>
  <si>
    <t>SV09</t>
  </si>
  <si>
    <t>S04, Speziale et al. [2004]</t>
  </si>
  <si>
    <t>S04</t>
  </si>
  <si>
    <t>L79, Levien et al., [1979]</t>
  </si>
  <si>
    <t>KW88b, Kandelin &amp; Wiedner [1988b]</t>
  </si>
  <si>
    <t>KW88a, Kandelin &amp; Wiedner [1988a]</t>
  </si>
  <si>
    <t>KW88a</t>
  </si>
  <si>
    <t>KW88b</t>
  </si>
  <si>
    <t>ac</t>
  </si>
  <si>
    <t>J06: Jiang et al. [2006]</t>
  </si>
  <si>
    <t>J06</t>
  </si>
  <si>
    <t>M07</t>
  </si>
  <si>
    <t>M07, Mao et al. [2007]</t>
  </si>
  <si>
    <t>HRP96, Holland et l. [1996]</t>
  </si>
  <si>
    <t>J04, Jiang et al. [2004]</t>
  </si>
  <si>
    <t>ZH77</t>
  </si>
  <si>
    <t>ZH77, Zhang &amp; Hafner [1977]</t>
  </si>
  <si>
    <t>B07, Brown et al. [2007]</t>
  </si>
  <si>
    <t>P07, Pavese et al. [2007]</t>
  </si>
  <si>
    <t>red entries are new since original submission</t>
  </si>
  <si>
    <t>ilmenite</t>
  </si>
  <si>
    <t>M08, Mainprice et al. [2008]</t>
  </si>
  <si>
    <t>MDT08, McCarthy et al. [2008]</t>
  </si>
  <si>
    <t>MDT08</t>
  </si>
  <si>
    <t>B07</t>
  </si>
  <si>
    <t>[23]</t>
  </si>
  <si>
    <t>note 23, K extrapolated to pure celadonite from Smyth et al. [2000]and Comodi and Zanazzi [1995]</t>
  </si>
  <si>
    <t>Poisson's from K and G</t>
  </si>
  <si>
    <t>SL06: Schutt &amp; Lesher [2006]</t>
  </si>
  <si>
    <t>note 17, approximated as G' = (5*G)/(3*KT) [Anderson et al., 1992]</t>
  </si>
  <si>
    <t>note 18, approximated as dT = gth + KT' [Anderson et al., 1992]</t>
  </si>
  <si>
    <t>DS06, Downs &amp; Singh [2006]</t>
  </si>
  <si>
    <t>DS06</t>
  </si>
  <si>
    <t>A64, Aleksandrova et al. [1964]</t>
  </si>
  <si>
    <t>WP84. Wechsler &amp; Prewitt [1984]</t>
  </si>
  <si>
    <t>[25]</t>
  </si>
  <si>
    <t>CaTs</t>
  </si>
  <si>
    <t>MgTs</t>
  </si>
  <si>
    <t>In theory, K should not vary with composition in a single crystal structure with solid solution</t>
  </si>
  <si>
    <t>CB98, Collins &amp; Brown [1998]</t>
  </si>
  <si>
    <t>[26]</t>
  </si>
  <si>
    <t>Ts</t>
  </si>
  <si>
    <t>CB98</t>
  </si>
  <si>
    <t>note 27, assumed to follow diopside</t>
  </si>
  <si>
    <t>[27]</t>
  </si>
  <si>
    <t>[28]</t>
  </si>
  <si>
    <t>note 28, assumed to follow enstatite</t>
  </si>
  <si>
    <t>CBS97, Chai, Brown, Slutsky [1997]</t>
  </si>
  <si>
    <t>CBS97</t>
  </si>
  <si>
    <t>[29]</t>
  </si>
  <si>
    <t>original</t>
  </si>
  <si>
    <t>norm to remove Ca</t>
  </si>
  <si>
    <t>normalize</t>
  </si>
  <si>
    <t>MgMg</t>
  </si>
  <si>
    <t>FeFe</t>
  </si>
  <si>
    <t>MgAl</t>
  </si>
  <si>
    <t>remove Na, Ti, Cr</t>
  </si>
  <si>
    <t>Al VI</t>
  </si>
  <si>
    <t>norm</t>
  </si>
  <si>
    <t>CaAl</t>
  </si>
  <si>
    <t>CaMg</t>
  </si>
  <si>
    <t>NaAl</t>
  </si>
  <si>
    <t xml:space="preserve">cannot use Collins &amp; Brown [1998] because </t>
  </si>
  <si>
    <t>Di75He9Jd3Ts12</t>
  </si>
  <si>
    <t>En79Fs09Ts12</t>
  </si>
  <si>
    <t>note 29, EXTRAPOLATED linearly from enstatite and ferrosilite and CBS97; use with caution or not at all</t>
  </si>
  <si>
    <t>note 26, EXTRAPOLATED linearly from diopside, hedenbergite, jadeite and CB98, assuming Al = Al + Cr, and Ca = Ca + Na; use with caution or not at all</t>
  </si>
  <si>
    <t>[30]</t>
  </si>
  <si>
    <t>note 30, interpolated linearly from endmembers</t>
  </si>
  <si>
    <r>
      <t>note 15, adjusted from Bass [1995], using K</t>
    </r>
    <r>
      <rPr>
        <sz val="7.5"/>
        <rFont val="Tms Rmn"/>
        <family val="0"/>
      </rPr>
      <t xml:space="preserve">T </t>
    </r>
    <r>
      <rPr>
        <sz val="11"/>
        <rFont val="Tms Rmn"/>
        <family val="0"/>
      </rPr>
      <t>= K</t>
    </r>
    <r>
      <rPr>
        <sz val="7.5"/>
        <rFont val="Tms Rmn"/>
        <family val="0"/>
      </rPr>
      <t>S</t>
    </r>
    <r>
      <rPr>
        <sz val="11"/>
        <rFont val="Tms Rmn"/>
        <family val="0"/>
      </rPr>
      <t>/(1 + ag</t>
    </r>
    <r>
      <rPr>
        <sz val="7.5"/>
        <rFont val="Tms Rmn"/>
        <family val="0"/>
      </rPr>
      <t>th</t>
    </r>
    <r>
      <rPr>
        <sz val="11"/>
        <rFont val="Tms Rmn"/>
        <family val="0"/>
      </rPr>
      <t>T) [Anderson et al., 1992]</t>
    </r>
  </si>
  <si>
    <t>mgts</t>
  </si>
  <si>
    <t>cats</t>
  </si>
  <si>
    <t>NaAl clinopyroxene</t>
  </si>
  <si>
    <t>NaFe clinopyroxene</t>
  </si>
  <si>
    <t>MgAlAl orthopyroxene</t>
  </si>
  <si>
    <t>CaAlAl clinopyroxene</t>
  </si>
  <si>
    <t>Mg tschermak</t>
  </si>
  <si>
    <t>Ca tschermak</t>
  </si>
  <si>
    <t>acmite</t>
  </si>
  <si>
    <t>MgAlAlSiO6</t>
  </si>
  <si>
    <t>NaFeSi2O6</t>
  </si>
  <si>
    <t>CaAlAlSiO6</t>
  </si>
  <si>
    <t>d (m)</t>
  </si>
  <si>
    <t>f (Hz)</t>
  </si>
  <si>
    <t>Qs</t>
  </si>
  <si>
    <t>G_an (GPa)</t>
  </si>
  <si>
    <t>G_an/G</t>
  </si>
  <si>
    <t>Vp/Vs_an</t>
  </si>
  <si>
    <t>These values do not include effects of anelasticity.</t>
  </si>
  <si>
    <t>note 22, clinozoisite assumed to follow zoisite</t>
  </si>
  <si>
    <t>[31]</t>
  </si>
  <si>
    <t>R66, Ryzhova (1966)</t>
  </si>
  <si>
    <t>note 31 calculated using Poisson’s ratio for zoisite (structures are similar)</t>
  </si>
  <si>
    <t>note 32, calculated using Poisson's ratio from R66</t>
  </si>
  <si>
    <t>[32]</t>
  </si>
  <si>
    <t>note 2 [hab], assumed that low albite and high albite have equivalent elastic moduli</t>
  </si>
  <si>
    <t>note 5 [daph], Theye et al. [2003] show no dependence of bulk modulus on Mg# for chlorite</t>
  </si>
  <si>
    <t>note 6 [chum], calculated using Poisson’s ratio for forsterite and scaled against bulk modulus of forsterite (structures are similar)</t>
  </si>
  <si>
    <t>note 7 [clin, daph, pre], calculated using Poisson’s ratio for muscovite and scaled against bulk modulus of muscovite (all are phyllosilicates)</t>
  </si>
  <si>
    <t>H06, Hilairet et al. [2006]</t>
  </si>
  <si>
    <t>note 1 [atg], adjusted to fit STP Poisson’s ratio measured by Christensen [2004]</t>
  </si>
  <si>
    <t xml:space="preserve">note 9 [an], scaled from K using Poisson's ratio = 0.295 in Bass [1995] </t>
  </si>
  <si>
    <t>Hashin-Shtrickman only for isotropic material</t>
  </si>
  <si>
    <t>[33]</t>
  </si>
  <si>
    <t>Really need G measurements for hornblende</t>
  </si>
  <si>
    <t>note 8, [hb] hornblendite Poisson's = 0.257 [Christensen, 1996] were used (instead of hornblende Poisson's = 0.288 [Alexandrov and Ryzhova, 1961])</t>
  </si>
  <si>
    <t>note 10, calculated as average of fact, ts, parg</t>
  </si>
  <si>
    <r>
      <t>note 19, Holland and Powell’s [1998] values and expansion for thermal expansivity: a(T) = a</t>
    </r>
    <r>
      <rPr>
        <sz val="7.5"/>
        <rFont val="Tms Rmn"/>
        <family val="0"/>
      </rPr>
      <t>o</t>
    </r>
    <r>
      <rPr>
        <sz val="11"/>
        <rFont val="Tms Rmn"/>
        <family val="0"/>
      </rPr>
      <t>(1 - 10/SQRT(T)), giving ln(V(T)/V</t>
    </r>
    <r>
      <rPr>
        <sz val="7.5"/>
        <rFont val="Tms Rmn"/>
        <family val="0"/>
      </rPr>
      <t>o</t>
    </r>
    <r>
      <rPr>
        <sz val="11"/>
        <rFont val="Tms Rmn"/>
        <family val="0"/>
      </rPr>
      <t>) = a</t>
    </r>
    <r>
      <rPr>
        <sz val="7.5"/>
        <rFont val="Tms Rmn"/>
        <family val="0"/>
      </rPr>
      <t>o</t>
    </r>
    <r>
      <rPr>
        <sz val="11"/>
        <rFont val="Tms Rmn"/>
        <family val="0"/>
      </rPr>
      <t>*((T - 298 + SQRT(T) - SQRT(298))</t>
    </r>
  </si>
  <si>
    <t>note 25, calculated using Poisson's ratio = 0.31 in Christensen [2004]</t>
  </si>
  <si>
    <t>OQVD08, Ori et al. [2008]</t>
  </si>
  <si>
    <t>OQVD08</t>
  </si>
  <si>
    <t>magnesite</t>
  </si>
  <si>
    <t>L08, Litasov et al. [2008]</t>
  </si>
  <si>
    <t>L08</t>
  </si>
  <si>
    <t>note 33 [mag], calculated using Poisson's ratio from B95</t>
  </si>
  <si>
    <t>mag</t>
  </si>
  <si>
    <t>MgCO3</t>
  </si>
  <si>
    <t>OHY06, Ohno et al. [2006]</t>
  </si>
  <si>
    <t>OHY06</t>
  </si>
  <si>
    <t>[34]</t>
  </si>
  <si>
    <t>LP81, Levien &amp; Prewitt [1981]</t>
  </si>
  <si>
    <t>LP81</t>
  </si>
  <si>
    <t>IOL06, Isaak et al. [2006]</t>
  </si>
  <si>
    <t>IOL06</t>
  </si>
  <si>
    <t>K04</t>
  </si>
  <si>
    <t>N06</t>
  </si>
  <si>
    <t>N06, Nestola et al. [2006]</t>
  </si>
  <si>
    <t>VG86, Vaughan &amp; Guggenheim (1986) in Bass 95</t>
  </si>
  <si>
    <t>[36]</t>
  </si>
  <si>
    <t>VW78 Vaughan &amp; Weidner 1978</t>
  </si>
  <si>
    <t>VW78</t>
  </si>
  <si>
    <t>[37]</t>
  </si>
  <si>
    <t>note 36 [cel], scaled to match muscovite Poissons</t>
  </si>
  <si>
    <t>[38]</t>
  </si>
  <si>
    <t>not 38 [lmt, wrk], assumed to have Poisson's ratio of albite</t>
  </si>
  <si>
    <t>note 39 [lmt], assumed to follow wairakite</t>
  </si>
  <si>
    <t>[39]</t>
  </si>
  <si>
    <r>
      <t>note 21, mass, density, and H</t>
    </r>
    <r>
      <rPr>
        <sz val="7.5"/>
        <rFont val="Tms Rmn"/>
        <family val="0"/>
      </rPr>
      <t>2</t>
    </r>
    <r>
      <rPr>
        <sz val="11"/>
        <rFont val="Tms Rmn"/>
        <family val="0"/>
      </rPr>
      <t>O content were calculated from mineral formula in Holland and Powell [1998], except for aqz &amp; bqz, from Ohno et al. [2006]</t>
    </r>
  </si>
  <si>
    <t>[40]</t>
  </si>
  <si>
    <t>note 40 [aqz], fit to Christensen [1996]</t>
  </si>
  <si>
    <t>[41]</t>
  </si>
  <si>
    <t>note 34 [aqz], calculated from Ohno et al. [2006] and Ackerman et al. [1975]</t>
  </si>
  <si>
    <t>note 41  [bqz], calculated from Ohno et al. [2006] and Ackerman et al. [1975] using Tref = 575°C</t>
  </si>
  <si>
    <t>[42]</t>
  </si>
  <si>
    <t xml:space="preserve">note 42 [aqz, bqz], value here is placeholder; actual value is T dependent fit to Ohno et al. [2006] </t>
  </si>
  <si>
    <t>quartz</t>
  </si>
  <si>
    <t>qz</t>
  </si>
  <si>
    <t>R04</t>
  </si>
  <si>
    <t>R04, Reichmann et al. [2004]</t>
  </si>
  <si>
    <t>cordierite</t>
  </si>
  <si>
    <t>T99</t>
  </si>
  <si>
    <t>T99, Toohill et al. [1999]</t>
  </si>
  <si>
    <t>B09</t>
  </si>
  <si>
    <t>B09, Bezacier et al. (2009)</t>
  </si>
  <si>
    <t>H84, Hearmon [1984]</t>
  </si>
  <si>
    <t>H84</t>
  </si>
  <si>
    <t>scapolite (meionite)</t>
  </si>
  <si>
    <t>rutile</t>
  </si>
  <si>
    <t>I98</t>
  </si>
  <si>
    <t>I98, Isaak et al [1998]</t>
  </si>
  <si>
    <t>[43]</t>
  </si>
  <si>
    <t>G from K and Poisson's</t>
  </si>
  <si>
    <t>note 35 [muscovite], adjusted to fit Poisson's = 0.248 in VG86</t>
  </si>
  <si>
    <t>note 3 [phl] adjusted to fit Poisson’s ratio of 0.27 in Aleksandrova &amp; Ryzhova [1961]</t>
  </si>
  <si>
    <t>note 4 [ann], assumed no compositional dependence of modulus, based on Pavese et al. [2007]</t>
  </si>
  <si>
    <t>note 24,</t>
  </si>
  <si>
    <t>BFB97</t>
  </si>
  <si>
    <t>RC01, Ross and Crichton [2001], Mg, OH endmember</t>
  </si>
  <si>
    <t>BFB97, Beckman Fritzel &amp; Bass [1997], natural Mg93, 0.27F</t>
  </si>
  <si>
    <t>I89</t>
  </si>
  <si>
    <t>I89, Isaak et al [1989]</t>
  </si>
  <si>
    <t>ABSZ97</t>
  </si>
  <si>
    <t>ABSZ97, Abramson et al. [1997]</t>
  </si>
  <si>
    <t>note 37 [ta]. fit to Mainprice et al. [2008] data, excluding 0 GPa</t>
  </si>
  <si>
    <t>B10, Bezacier et al. (2010)</t>
  </si>
  <si>
    <t>B10</t>
  </si>
  <si>
    <t>BW84</t>
  </si>
  <si>
    <t>BW, Bass &amp; Weidner [1984]</t>
  </si>
  <si>
    <t>N10, Nestola et al. [2010]</t>
  </si>
  <si>
    <t>N10</t>
  </si>
  <si>
    <t>titanite/sphene</t>
  </si>
  <si>
    <t>A99</t>
  </si>
  <si>
    <t>A99, Angel et al. [1999]</t>
  </si>
  <si>
    <t>assumed 0.27</t>
  </si>
  <si>
    <t>note that Ti is missing from bulk composition calculation</t>
  </si>
  <si>
    <t>T10</t>
  </si>
  <si>
    <t>T10, Tronche et al. [2010]</t>
  </si>
  <si>
    <t>URL</t>
  </si>
  <si>
    <t>www3.imperial.ac.uk/pls/portallive/docs/1/52265697.DOC</t>
  </si>
  <si>
    <t>M11</t>
  </si>
  <si>
    <t>M11, Militzer et al. [2011]</t>
  </si>
  <si>
    <t>A12</t>
  </si>
  <si>
    <t>A12, Alvaro et al. [2012]</t>
  </si>
  <si>
    <t>Vielzeuf &amp; Holloway pelite checked</t>
  </si>
  <si>
    <t>Perp</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</si>
</sst>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E+00"/>
    <numFmt numFmtId="166" formatCode="0.0"/>
    <numFmt numFmtId="167" formatCode="0.0000000"/>
    <numFmt numFmtId="168" formatCode="0.000000"/>
    <numFmt numFmtId="169" formatCode="0.00000"/>
    <numFmt numFmtId="170" formatCode="0.000"/>
    <numFmt numFmtId="171" formatCode="0.0000"/>
    <numFmt numFmtId="172" formatCode="0.000E+00"/>
    <numFmt numFmtId="173" formatCode="0.0%"/>
    <numFmt numFmtId="174" formatCode="0;[Red]0"/>
    <numFmt numFmtId="175" formatCode="0.0000E+00"/>
    <numFmt numFmtId="176" formatCode="0.00000000"/>
    <numFmt numFmtId="177" formatCode="0.000000000"/>
    <numFmt numFmtId="178" formatCode="0.0000000000"/>
    <numFmt numFmtId="179" formatCode="0.00000000000"/>
    <numFmt numFmtId="180" formatCode="0.00000E+00"/>
    <numFmt numFmtId="181" formatCode="&quot;Yes&quot;;&quot;Yes&quot;;&quot;No&quot;"/>
    <numFmt numFmtId="182" formatCode="&quot;True&quot;;&quot;True&quot;;&quot;False&quot;"/>
    <numFmt numFmtId="183" formatCode="&quot;On&quot;;&quot;On&quot;;&quot;Off&quot;"/>
    <numFmt numFmtId="184" formatCode="[$€-2]\ #,##0.00_);[Red]\([$€-2]\ #,##0.00\)"/>
  </numFmts>
  <fonts count="39">
    <font>
      <sz val="12"/>
      <name val="Tms Rmn"/>
      <family val="0"/>
    </font>
    <font>
      <b/>
      <sz val="12"/>
      <name val="Tms Rmn"/>
      <family val="0"/>
    </font>
    <font>
      <i/>
      <sz val="12"/>
      <name val="Tms Rmn"/>
      <family val="0"/>
    </font>
    <font>
      <b/>
      <i/>
      <sz val="12"/>
      <name val="Tms Rmn"/>
      <family val="0"/>
    </font>
    <font>
      <sz val="12"/>
      <color indexed="8"/>
      <name val="Tms Rmn"/>
      <family val="0"/>
    </font>
    <font>
      <b/>
      <sz val="12"/>
      <color indexed="8"/>
      <name val="Tms Rmn"/>
      <family val="0"/>
    </font>
    <font>
      <i/>
      <sz val="12"/>
      <color indexed="8"/>
      <name val="Tms Rmn"/>
      <family val="0"/>
    </font>
    <font>
      <b/>
      <sz val="12"/>
      <color indexed="8"/>
      <name val="Times New Roman"/>
      <family val="1"/>
    </font>
    <font>
      <b/>
      <i/>
      <sz val="12"/>
      <color indexed="8"/>
      <name val="Tms Rmn"/>
      <family val="0"/>
    </font>
    <font>
      <sz val="14"/>
      <color indexed="18"/>
      <name val="Charcoal"/>
      <family val="0"/>
    </font>
    <font>
      <sz val="12"/>
      <color indexed="10"/>
      <name val="Tms Rmn"/>
      <family val="0"/>
    </font>
    <font>
      <sz val="8"/>
      <name val="Tms Rmn"/>
      <family val="0"/>
    </font>
    <font>
      <u val="single"/>
      <sz val="9"/>
      <color indexed="12"/>
      <name val="Tms Rmn"/>
      <family val="0"/>
    </font>
    <font>
      <u val="single"/>
      <sz val="9"/>
      <color indexed="36"/>
      <name val="Tms Rmn"/>
      <family val="0"/>
    </font>
    <font>
      <sz val="11"/>
      <name val="Tms Rmn"/>
      <family val="0"/>
    </font>
    <font>
      <sz val="7.5"/>
      <name val="Tms Rmn"/>
      <family val="0"/>
    </font>
    <font>
      <sz val="10"/>
      <name val="Symbol"/>
      <family val="1"/>
    </font>
    <font>
      <b/>
      <sz val="12"/>
      <color indexed="10"/>
      <name val="Tms Rmn"/>
      <family val="0"/>
    </font>
    <font>
      <sz val="10"/>
      <name val="Arial"/>
      <family val="0"/>
    </font>
    <font>
      <u val="single"/>
      <sz val="10"/>
      <name val="Arial"/>
      <family val="0"/>
    </font>
    <font>
      <sz val="12"/>
      <color indexed="2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right style="thin">
        <color indexed="55"/>
      </right>
      <top style="thin"/>
      <bottom>
        <color indexed="63"/>
      </bottom>
    </border>
    <border>
      <left style="thin">
        <color indexed="55"/>
      </left>
      <right style="thin">
        <color indexed="55"/>
      </right>
      <top style="thin"/>
      <bottom>
        <color indexed="63"/>
      </bottom>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color indexed="63"/>
      </right>
      <top style="thin"/>
      <bottom>
        <color indexed="63"/>
      </bottom>
    </border>
    <border>
      <left>
        <color indexed="63"/>
      </left>
      <right style="thin">
        <color indexed="55"/>
      </right>
      <top style="thin"/>
      <bottom>
        <color indexed="63"/>
      </bottom>
    </border>
    <border>
      <left style="thin">
        <color indexed="55"/>
      </left>
      <right>
        <color indexed="63"/>
      </right>
      <top>
        <color indexed="63"/>
      </top>
      <bottom style="thin"/>
    </border>
    <border>
      <left>
        <color indexed="63"/>
      </left>
      <right style="thin">
        <color indexed="55"/>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6" fillId="15" borderId="0" applyNumberFormat="0" applyBorder="0" applyAlignment="0" applyProtection="0"/>
    <xf numFmtId="0" fontId="30" fillId="16" borderId="1" applyNumberFormat="0" applyAlignment="0" applyProtection="0"/>
    <xf numFmtId="0" fontId="3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25"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7" borderId="0" applyNumberFormat="0" applyBorder="0" applyAlignment="0" applyProtection="0"/>
    <xf numFmtId="0" fontId="18" fillId="0" borderId="0">
      <alignment/>
      <protection/>
    </xf>
    <xf numFmtId="0" fontId="0" fillId="4" borderId="7" applyNumberFormat="0" applyFont="0" applyAlignment="0" applyProtection="0"/>
    <xf numFmtId="0" fontId="29" fillId="16"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88">
    <xf numFmtId="0" fontId="0" fillId="0" borderId="0" xfId="0" applyAlignment="1">
      <alignment/>
    </xf>
    <xf numFmtId="166" fontId="4" fillId="0" borderId="0" xfId="0" applyNumberFormat="1" applyFont="1" applyFill="1" applyAlignment="1">
      <alignment/>
    </xf>
    <xf numFmtId="164" fontId="4" fillId="0" borderId="0" xfId="0" applyNumberFormat="1" applyFont="1" applyFill="1" applyAlignment="1">
      <alignment/>
    </xf>
    <xf numFmtId="11" fontId="4" fillId="0" borderId="0" xfId="0" applyNumberFormat="1" applyFont="1" applyFill="1" applyAlignment="1">
      <alignment/>
    </xf>
    <xf numFmtId="0" fontId="4" fillId="0" borderId="0" xfId="0" applyFont="1" applyFill="1" applyAlignment="1">
      <alignment/>
    </xf>
    <xf numFmtId="1" fontId="4" fillId="0" borderId="0" xfId="0" applyNumberFormat="1" applyFont="1" applyFill="1" applyAlignment="1">
      <alignment/>
    </xf>
    <xf numFmtId="2" fontId="4" fillId="0" borderId="0" xfId="0" applyNumberFormat="1" applyFont="1" applyFill="1" applyAlignment="1">
      <alignment/>
    </xf>
    <xf numFmtId="175" fontId="4" fillId="0" borderId="0" xfId="0" applyNumberFormat="1" applyFont="1" applyFill="1" applyAlignment="1">
      <alignment/>
    </xf>
    <xf numFmtId="170" fontId="4" fillId="0" borderId="0" xfId="0" applyNumberFormat="1" applyFont="1" applyFill="1" applyAlignment="1">
      <alignment/>
    </xf>
    <xf numFmtId="172" fontId="4" fillId="0" borderId="0" xfId="0" applyNumberFormat="1" applyFont="1" applyFill="1" applyAlignment="1">
      <alignment/>
    </xf>
    <xf numFmtId="0" fontId="4" fillId="0" borderId="0" xfId="0" applyFont="1" applyFill="1" applyAlignment="1">
      <alignment horizontal="center"/>
    </xf>
    <xf numFmtId="166" fontId="5" fillId="0" borderId="0" xfId="0" applyNumberFormat="1" applyFont="1" applyFill="1" applyAlignment="1">
      <alignment horizontal="right"/>
    </xf>
    <xf numFmtId="166" fontId="5" fillId="0" borderId="0" xfId="0" applyNumberFormat="1"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166" fontId="4" fillId="7" borderId="0" xfId="0" applyNumberFormat="1" applyFont="1" applyFill="1" applyAlignment="1">
      <alignment/>
    </xf>
    <xf numFmtId="1" fontId="4" fillId="7" borderId="0" xfId="0" applyNumberFormat="1" applyFont="1" applyFill="1" applyAlignment="1">
      <alignment/>
    </xf>
    <xf numFmtId="1" fontId="4" fillId="18" borderId="0" xfId="0" applyNumberFormat="1" applyFont="1" applyFill="1" applyAlignment="1">
      <alignment/>
    </xf>
    <xf numFmtId="166" fontId="5" fillId="8" borderId="0" xfId="0" applyNumberFormat="1" applyFont="1" applyFill="1" applyAlignment="1">
      <alignment horizontal="right"/>
    </xf>
    <xf numFmtId="0" fontId="4" fillId="8" borderId="10" xfId="0" applyFont="1" applyFill="1" applyBorder="1" applyAlignment="1">
      <alignment horizontal="right"/>
    </xf>
    <xf numFmtId="0" fontId="5" fillId="8" borderId="11" xfId="0" applyFont="1" applyFill="1" applyBorder="1" applyAlignment="1">
      <alignment horizontal="right"/>
    </xf>
    <xf numFmtId="0" fontId="5" fillId="8" borderId="0" xfId="0" applyFont="1" applyFill="1" applyAlignment="1">
      <alignment horizontal="right"/>
    </xf>
    <xf numFmtId="0" fontId="5" fillId="8" borderId="0" xfId="0" applyFont="1" applyFill="1" applyBorder="1" applyAlignment="1">
      <alignment horizontal="right"/>
    </xf>
    <xf numFmtId="175" fontId="5" fillId="8" borderId="10" xfId="0" applyNumberFormat="1" applyFont="1" applyFill="1" applyBorder="1" applyAlignment="1">
      <alignment horizontal="center"/>
    </xf>
    <xf numFmtId="1" fontId="5" fillId="8" borderId="10" xfId="0" applyNumberFormat="1" applyFont="1" applyFill="1" applyBorder="1" applyAlignment="1">
      <alignment horizontal="center"/>
    </xf>
    <xf numFmtId="164" fontId="5" fillId="8" borderId="10" xfId="0" applyNumberFormat="1" applyFont="1" applyFill="1" applyBorder="1" applyAlignment="1">
      <alignment horizontal="center"/>
    </xf>
    <xf numFmtId="172" fontId="5" fillId="8" borderId="10" xfId="0" applyNumberFormat="1" applyFont="1" applyFill="1" applyBorder="1" applyAlignment="1">
      <alignment horizontal="center"/>
    </xf>
    <xf numFmtId="166" fontId="5" fillId="8" borderId="10" xfId="0" applyNumberFormat="1" applyFont="1" applyFill="1" applyBorder="1" applyAlignment="1">
      <alignment horizontal="center"/>
    </xf>
    <xf numFmtId="2" fontId="5" fillId="8" borderId="10" xfId="0" applyNumberFormat="1" applyFont="1" applyFill="1" applyBorder="1" applyAlignment="1">
      <alignment horizontal="center"/>
    </xf>
    <xf numFmtId="170" fontId="5" fillId="8" borderId="10" xfId="0" applyNumberFormat="1" applyFont="1" applyFill="1" applyBorder="1" applyAlignment="1">
      <alignment horizontal="center"/>
    </xf>
    <xf numFmtId="175" fontId="5" fillId="8" borderId="11" xfId="0" applyNumberFormat="1" applyFont="1" applyFill="1" applyBorder="1" applyAlignment="1">
      <alignment horizontal="center"/>
    </xf>
    <xf numFmtId="1" fontId="5" fillId="8" borderId="11" xfId="0" applyNumberFormat="1" applyFont="1" applyFill="1" applyBorder="1" applyAlignment="1">
      <alignment horizontal="center"/>
    </xf>
    <xf numFmtId="164" fontId="5" fillId="8" borderId="11" xfId="0" applyNumberFormat="1" applyFont="1" applyFill="1" applyBorder="1" applyAlignment="1">
      <alignment horizontal="center"/>
    </xf>
    <xf numFmtId="172" fontId="5" fillId="8" borderId="11" xfId="0" applyNumberFormat="1" applyFont="1" applyFill="1" applyBorder="1" applyAlignment="1">
      <alignment horizontal="center"/>
    </xf>
    <xf numFmtId="166" fontId="5" fillId="8" borderId="11" xfId="0" applyNumberFormat="1" applyFont="1" applyFill="1" applyBorder="1" applyAlignment="1">
      <alignment horizontal="center"/>
    </xf>
    <xf numFmtId="2" fontId="5" fillId="8" borderId="11" xfId="0" applyNumberFormat="1" applyFont="1" applyFill="1" applyBorder="1" applyAlignment="1">
      <alignment horizontal="center"/>
    </xf>
    <xf numFmtId="170" fontId="5" fillId="8" borderId="11" xfId="0" applyNumberFormat="1" applyFont="1" applyFill="1" applyBorder="1" applyAlignment="1">
      <alignment horizontal="center"/>
    </xf>
    <xf numFmtId="166" fontId="5" fillId="8" borderId="10" xfId="0" applyNumberFormat="1" applyFont="1" applyFill="1" applyBorder="1" applyAlignment="1">
      <alignment horizontal="center" wrapText="1"/>
    </xf>
    <xf numFmtId="0" fontId="5" fillId="8" borderId="10" xfId="0" applyFont="1" applyFill="1" applyBorder="1" applyAlignment="1">
      <alignment horizontal="center" wrapText="1"/>
    </xf>
    <xf numFmtId="0" fontId="5" fillId="8" borderId="11" xfId="0" applyFont="1" applyFill="1" applyBorder="1" applyAlignment="1">
      <alignment horizontal="center"/>
    </xf>
    <xf numFmtId="166" fontId="4" fillId="7" borderId="0" xfId="0" applyNumberFormat="1" applyFont="1" applyFill="1" applyAlignment="1">
      <alignment horizontal="center"/>
    </xf>
    <xf numFmtId="1" fontId="5" fillId="8" borderId="0" xfId="0" applyNumberFormat="1" applyFont="1" applyFill="1" applyAlignment="1">
      <alignment horizontal="right"/>
    </xf>
    <xf numFmtId="2" fontId="5" fillId="8" borderId="0" xfId="0" applyNumberFormat="1" applyFont="1" applyFill="1" applyAlignment="1">
      <alignment horizontal="right"/>
    </xf>
    <xf numFmtId="166" fontId="4" fillId="18" borderId="0" xfId="0" applyNumberFormat="1" applyFont="1" applyFill="1" applyAlignment="1">
      <alignment/>
    </xf>
    <xf numFmtId="170" fontId="4" fillId="18" borderId="0" xfId="0" applyNumberFormat="1" applyFont="1" applyFill="1" applyAlignment="1">
      <alignment/>
    </xf>
    <xf numFmtId="2" fontId="4" fillId="18" borderId="0" xfId="0" applyNumberFormat="1" applyFont="1" applyFill="1" applyAlignment="1">
      <alignment/>
    </xf>
    <xf numFmtId="175" fontId="4" fillId="18" borderId="0" xfId="0" applyNumberFormat="1" applyFont="1" applyFill="1" applyAlignment="1">
      <alignment/>
    </xf>
    <xf numFmtId="164" fontId="4" fillId="18" borderId="0" xfId="0" applyNumberFormat="1" applyFont="1" applyFill="1" applyAlignment="1">
      <alignment/>
    </xf>
    <xf numFmtId="172" fontId="4" fillId="18" borderId="0" xfId="0" applyNumberFormat="1" applyFont="1" applyFill="1" applyAlignment="1">
      <alignment/>
    </xf>
    <xf numFmtId="166" fontId="4" fillId="5" borderId="0" xfId="0" applyNumberFormat="1" applyFont="1" applyFill="1" applyAlignment="1">
      <alignment/>
    </xf>
    <xf numFmtId="1" fontId="4" fillId="5" borderId="0" xfId="0" applyNumberFormat="1" applyFont="1" applyFill="1" applyAlignment="1">
      <alignment/>
    </xf>
    <xf numFmtId="0" fontId="4" fillId="5" borderId="0" xfId="0" applyNumberFormat="1" applyFont="1" applyFill="1" applyAlignment="1">
      <alignment/>
    </xf>
    <xf numFmtId="164" fontId="4" fillId="5" borderId="0" xfId="0" applyNumberFormat="1" applyFont="1" applyFill="1" applyAlignment="1">
      <alignment/>
    </xf>
    <xf numFmtId="11" fontId="4" fillId="5" borderId="0" xfId="0" applyNumberFormat="1" applyFont="1" applyFill="1" applyAlignment="1">
      <alignment/>
    </xf>
    <xf numFmtId="2" fontId="4" fillId="5" borderId="0" xfId="0" applyNumberFormat="1" applyFont="1" applyFill="1" applyAlignment="1">
      <alignment/>
    </xf>
    <xf numFmtId="174" fontId="4" fillId="5" borderId="0" xfId="0" applyNumberFormat="1" applyFont="1" applyFill="1" applyAlignment="1">
      <alignment/>
    </xf>
    <xf numFmtId="0" fontId="4" fillId="5" borderId="0" xfId="0" applyFont="1" applyFill="1" applyAlignment="1">
      <alignment/>
    </xf>
    <xf numFmtId="0" fontId="4" fillId="8" borderId="0" xfId="0" applyFont="1" applyFill="1" applyAlignment="1">
      <alignment horizontal="right"/>
    </xf>
    <xf numFmtId="166" fontId="4" fillId="7" borderId="12" xfId="0" applyNumberFormat="1" applyFont="1" applyFill="1" applyBorder="1" applyAlignment="1">
      <alignment/>
    </xf>
    <xf numFmtId="166" fontId="4" fillId="18" borderId="12" xfId="0" applyNumberFormat="1" applyFont="1" applyFill="1" applyBorder="1" applyAlignment="1">
      <alignment horizontal="center"/>
    </xf>
    <xf numFmtId="166" fontId="8" fillId="15" borderId="0" xfId="0" applyNumberFormat="1" applyFont="1" applyFill="1" applyAlignment="1">
      <alignment horizontal="right"/>
    </xf>
    <xf numFmtId="166" fontId="4" fillId="7" borderId="13" xfId="0" applyNumberFormat="1" applyFont="1" applyFill="1" applyBorder="1" applyAlignment="1">
      <alignment horizontal="center"/>
    </xf>
    <xf numFmtId="166" fontId="4" fillId="7" borderId="14" xfId="0" applyNumberFormat="1" applyFont="1" applyFill="1" applyBorder="1" applyAlignment="1">
      <alignment horizontal="center"/>
    </xf>
    <xf numFmtId="166" fontId="4" fillId="7" borderId="15" xfId="0" applyNumberFormat="1" applyFont="1" applyFill="1" applyBorder="1" applyAlignment="1">
      <alignment horizontal="center"/>
    </xf>
    <xf numFmtId="166" fontId="4" fillId="7" borderId="16" xfId="0" applyNumberFormat="1" applyFont="1" applyFill="1" applyBorder="1" applyAlignment="1">
      <alignment horizontal="center"/>
    </xf>
    <xf numFmtId="166" fontId="5" fillId="8" borderId="0" xfId="0" applyNumberFormat="1" applyFont="1" applyFill="1" applyAlignment="1" quotePrefix="1">
      <alignment horizontal="right"/>
    </xf>
    <xf numFmtId="166" fontId="4" fillId="0" borderId="0" xfId="0" applyNumberFormat="1" applyFont="1" applyFill="1" applyAlignment="1">
      <alignment horizontal="right"/>
    </xf>
    <xf numFmtId="11" fontId="10" fillId="5" borderId="0" xfId="0" applyNumberFormat="1" applyFont="1" applyFill="1" applyAlignment="1">
      <alignment/>
    </xf>
    <xf numFmtId="2" fontId="10" fillId="5" borderId="0" xfId="0" applyNumberFormat="1" applyFont="1" applyFill="1" applyAlignment="1">
      <alignment/>
    </xf>
    <xf numFmtId="164" fontId="0" fillId="5" borderId="0" xfId="0" applyNumberFormat="1" applyFont="1" applyFill="1" applyAlignment="1">
      <alignment/>
    </xf>
    <xf numFmtId="2" fontId="0" fillId="5" borderId="0" xfId="0" applyNumberFormat="1" applyFont="1" applyFill="1" applyAlignment="1">
      <alignment/>
    </xf>
    <xf numFmtId="166" fontId="4" fillId="0" borderId="0" xfId="0" applyNumberFormat="1" applyFont="1" applyFill="1" applyAlignment="1">
      <alignment horizontal="center"/>
    </xf>
    <xf numFmtId="1" fontId="4" fillId="0" borderId="0" xfId="0" applyNumberFormat="1" applyFont="1" applyFill="1" applyAlignment="1">
      <alignment horizontal="center"/>
    </xf>
    <xf numFmtId="166" fontId="10" fillId="0" borderId="0" xfId="0" applyNumberFormat="1" applyFont="1" applyFill="1" applyAlignment="1">
      <alignment/>
    </xf>
    <xf numFmtId="166" fontId="10" fillId="7" borderId="0" xfId="0" applyNumberFormat="1" applyFont="1" applyFill="1" applyAlignment="1">
      <alignment/>
    </xf>
    <xf numFmtId="166" fontId="10" fillId="18" borderId="0" xfId="0" applyNumberFormat="1" applyFont="1" applyFill="1" applyAlignment="1">
      <alignment/>
    </xf>
    <xf numFmtId="166" fontId="10" fillId="7" borderId="12" xfId="0" applyNumberFormat="1" applyFont="1" applyFill="1" applyBorder="1" applyAlignment="1">
      <alignment/>
    </xf>
    <xf numFmtId="166" fontId="10" fillId="7" borderId="13" xfId="0" applyNumberFormat="1" applyFont="1" applyFill="1" applyBorder="1" applyAlignment="1">
      <alignment horizontal="center"/>
    </xf>
    <xf numFmtId="166" fontId="10" fillId="7" borderId="15" xfId="0" applyNumberFormat="1" applyFont="1" applyFill="1" applyBorder="1" applyAlignment="1">
      <alignment horizontal="center"/>
    </xf>
    <xf numFmtId="166" fontId="10" fillId="18" borderId="12" xfId="0" applyNumberFormat="1" applyFont="1" applyFill="1" applyBorder="1" applyAlignment="1">
      <alignment horizontal="center"/>
    </xf>
    <xf numFmtId="0" fontId="10" fillId="0" borderId="0" xfId="0" applyFont="1" applyAlignment="1">
      <alignment/>
    </xf>
    <xf numFmtId="166" fontId="10" fillId="7" borderId="17" xfId="0" applyNumberFormat="1" applyFont="1" applyFill="1" applyBorder="1" applyAlignment="1">
      <alignment horizontal="center"/>
    </xf>
    <xf numFmtId="166" fontId="10" fillId="7" borderId="18" xfId="0" applyNumberFormat="1" applyFont="1" applyFill="1" applyBorder="1" applyAlignment="1">
      <alignment horizontal="center"/>
    </xf>
    <xf numFmtId="170" fontId="0" fillId="0" borderId="0" xfId="0" applyNumberFormat="1" applyFont="1" applyAlignment="1">
      <alignment horizontal="right"/>
    </xf>
    <xf numFmtId="0" fontId="0" fillId="0" borderId="0" xfId="0" applyFont="1" applyAlignment="1">
      <alignment/>
    </xf>
    <xf numFmtId="166" fontId="0" fillId="0" borderId="0" xfId="0" applyNumberFormat="1" applyFont="1" applyAlignment="1">
      <alignment/>
    </xf>
    <xf numFmtId="170" fontId="0" fillId="0" borderId="0" xfId="0" applyNumberFormat="1" applyFont="1" applyAlignment="1">
      <alignment/>
    </xf>
    <xf numFmtId="168" fontId="0" fillId="0" borderId="0" xfId="0" applyNumberFormat="1" applyFont="1" applyAlignment="1">
      <alignment horizontal="right"/>
    </xf>
    <xf numFmtId="168" fontId="0" fillId="0" borderId="0" xfId="0" applyNumberFormat="1" applyFont="1" applyAlignment="1">
      <alignment/>
    </xf>
    <xf numFmtId="1" fontId="5" fillId="8" borderId="10" xfId="0" applyNumberFormat="1" applyFont="1" applyFill="1" applyBorder="1" applyAlignment="1">
      <alignment/>
    </xf>
    <xf numFmtId="0" fontId="5" fillId="8" borderId="10" xfId="0" applyFont="1" applyFill="1" applyBorder="1" applyAlignment="1">
      <alignment/>
    </xf>
    <xf numFmtId="2" fontId="4" fillId="8" borderId="10" xfId="0" applyNumberFormat="1" applyFont="1" applyFill="1" applyBorder="1" applyAlignment="1">
      <alignment/>
    </xf>
    <xf numFmtId="0" fontId="10" fillId="0" borderId="0" xfId="0" applyFont="1" applyFill="1" applyAlignment="1">
      <alignment/>
    </xf>
    <xf numFmtId="0" fontId="14" fillId="0" borderId="0" xfId="0" applyFont="1" applyAlignment="1">
      <alignment/>
    </xf>
    <xf numFmtId="0" fontId="0" fillId="0" borderId="0" xfId="0" applyFont="1" applyAlignment="1">
      <alignment/>
    </xf>
    <xf numFmtId="0" fontId="0" fillId="0" borderId="0" xfId="0" applyFont="1" applyAlignment="1">
      <alignment/>
    </xf>
    <xf numFmtId="166" fontId="10" fillId="5" borderId="0" xfId="0" applyNumberFormat="1" applyFont="1" applyFill="1" applyAlignment="1">
      <alignment/>
    </xf>
    <xf numFmtId="1" fontId="10" fillId="5" borderId="0" xfId="0" applyNumberFormat="1" applyFont="1" applyFill="1" applyAlignment="1">
      <alignment/>
    </xf>
    <xf numFmtId="164" fontId="10" fillId="5" borderId="0" xfId="0" applyNumberFormat="1" applyFont="1" applyFill="1" applyAlignment="1">
      <alignment/>
    </xf>
    <xf numFmtId="1" fontId="10" fillId="0" borderId="0" xfId="0" applyNumberFormat="1" applyFont="1" applyFill="1" applyAlignment="1">
      <alignment/>
    </xf>
    <xf numFmtId="0" fontId="10" fillId="5" borderId="0" xfId="0" applyNumberFormat="1" applyFont="1" applyFill="1" applyAlignment="1">
      <alignment/>
    </xf>
    <xf numFmtId="0" fontId="1" fillId="8" borderId="0" xfId="0" applyFont="1" applyFill="1" applyAlignment="1">
      <alignment horizontal="right"/>
    </xf>
    <xf numFmtId="11" fontId="4" fillId="14" borderId="0" xfId="0" applyNumberFormat="1" applyFont="1" applyFill="1" applyAlignment="1">
      <alignment/>
    </xf>
    <xf numFmtId="166" fontId="4" fillId="14"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xf>
    <xf numFmtId="2" fontId="16" fillId="0" borderId="0" xfId="0" applyNumberFormat="1" applyFont="1" applyFill="1" applyAlignment="1">
      <alignment/>
    </xf>
    <xf numFmtId="11" fontId="5" fillId="7" borderId="0" xfId="0" applyNumberFormat="1" applyFont="1" applyFill="1" applyAlignment="1">
      <alignment/>
    </xf>
    <xf numFmtId="11" fontId="4" fillId="7" borderId="0" xfId="0" applyNumberFormat="1" applyFont="1" applyFill="1" applyAlignment="1">
      <alignment/>
    </xf>
    <xf numFmtId="2" fontId="4" fillId="7" borderId="0" xfId="0" applyNumberFormat="1" applyFont="1" applyFill="1" applyAlignment="1">
      <alignment/>
    </xf>
    <xf numFmtId="164" fontId="4" fillId="7" borderId="0" xfId="0" applyNumberFormat="1" applyFont="1" applyFill="1" applyAlignment="1">
      <alignment/>
    </xf>
    <xf numFmtId="2" fontId="5" fillId="7" borderId="0" xfId="0" applyNumberFormat="1" applyFont="1" applyFill="1" applyAlignment="1">
      <alignment/>
    </xf>
    <xf numFmtId="2" fontId="10" fillId="7" borderId="0" xfId="0" applyNumberFormat="1" applyFont="1" applyFill="1" applyAlignment="1">
      <alignment/>
    </xf>
    <xf numFmtId="0" fontId="0" fillId="7" borderId="0" xfId="0" applyFont="1" applyFill="1" applyAlignment="1">
      <alignment/>
    </xf>
    <xf numFmtId="170" fontId="4" fillId="14" borderId="0" xfId="0" applyNumberFormat="1" applyFont="1" applyFill="1" applyAlignment="1">
      <alignment/>
    </xf>
    <xf numFmtId="0" fontId="4" fillId="7" borderId="0" xfId="0" applyFont="1" applyFill="1" applyAlignment="1">
      <alignment/>
    </xf>
    <xf numFmtId="166" fontId="5" fillId="7" borderId="0" xfId="0" applyNumberFormat="1" applyFont="1" applyFill="1" applyAlignment="1">
      <alignment horizontal="right"/>
    </xf>
    <xf numFmtId="170" fontId="4" fillId="7" borderId="13" xfId="0" applyNumberFormat="1" applyFont="1" applyFill="1" applyBorder="1" applyAlignment="1">
      <alignment/>
    </xf>
    <xf numFmtId="164" fontId="4" fillId="7" borderId="13" xfId="0" applyNumberFormat="1" applyFont="1" applyFill="1" applyBorder="1" applyAlignment="1">
      <alignment/>
    </xf>
    <xf numFmtId="172" fontId="4" fillId="7" borderId="13" xfId="0" applyNumberFormat="1" applyFont="1" applyFill="1" applyBorder="1" applyAlignment="1">
      <alignment/>
    </xf>
    <xf numFmtId="1" fontId="4" fillId="7" borderId="13" xfId="0" applyNumberFormat="1" applyFont="1" applyFill="1" applyBorder="1" applyAlignment="1">
      <alignment/>
    </xf>
    <xf numFmtId="166" fontId="4" fillId="7" borderId="13" xfId="0" applyNumberFormat="1" applyFont="1" applyFill="1" applyBorder="1" applyAlignment="1">
      <alignment/>
    </xf>
    <xf numFmtId="2" fontId="4" fillId="7" borderId="13" xfId="0" applyNumberFormat="1" applyFont="1" applyFill="1" applyBorder="1" applyAlignment="1">
      <alignment/>
    </xf>
    <xf numFmtId="0" fontId="4" fillId="7" borderId="13" xfId="0" applyFont="1" applyFill="1" applyBorder="1" applyAlignment="1">
      <alignment/>
    </xf>
    <xf numFmtId="175" fontId="5" fillId="8" borderId="0" xfId="0" applyNumberFormat="1" applyFont="1" applyFill="1" applyAlignment="1">
      <alignment horizontal="right"/>
    </xf>
    <xf numFmtId="172" fontId="5" fillId="8" borderId="0" xfId="0" applyNumberFormat="1" applyFont="1" applyFill="1" applyAlignment="1">
      <alignment horizontal="right"/>
    </xf>
    <xf numFmtId="1" fontId="5" fillId="7" borderId="0" xfId="0" applyNumberFormat="1" applyFont="1" applyFill="1" applyAlignment="1">
      <alignment horizontal="right"/>
    </xf>
    <xf numFmtId="166" fontId="5" fillId="7" borderId="0" xfId="0" applyNumberFormat="1" applyFont="1" applyFill="1" applyAlignment="1">
      <alignment/>
    </xf>
    <xf numFmtId="2" fontId="5" fillId="0" borderId="0" xfId="0" applyNumberFormat="1" applyFont="1" applyFill="1" applyAlignment="1">
      <alignment horizontal="right"/>
    </xf>
    <xf numFmtId="2" fontId="5" fillId="0" borderId="0" xfId="0" applyNumberFormat="1" applyFont="1" applyFill="1" applyAlignment="1">
      <alignment horizontal="left"/>
    </xf>
    <xf numFmtId="2" fontId="4" fillId="0" borderId="0" xfId="0" applyNumberFormat="1" applyFont="1" applyFill="1" applyAlignment="1">
      <alignment horizontal="left"/>
    </xf>
    <xf numFmtId="2" fontId="4" fillId="2" borderId="0" xfId="0" applyNumberFormat="1" applyFont="1" applyFill="1" applyAlignment="1">
      <alignment/>
    </xf>
    <xf numFmtId="166" fontId="4" fillId="2" borderId="0" xfId="0" applyNumberFormat="1" applyFont="1" applyFill="1" applyAlignment="1">
      <alignment/>
    </xf>
    <xf numFmtId="166" fontId="5" fillId="8" borderId="19" xfId="0" applyNumberFormat="1" applyFont="1" applyFill="1" applyBorder="1" applyAlignment="1">
      <alignment horizontal="center" wrapText="1"/>
    </xf>
    <xf numFmtId="166" fontId="5" fillId="8" borderId="20" xfId="0" applyNumberFormat="1" applyFont="1" applyFill="1" applyBorder="1" applyAlignment="1">
      <alignment horizontal="center" wrapText="1"/>
    </xf>
    <xf numFmtId="1" fontId="5" fillId="8" borderId="20" xfId="0" applyNumberFormat="1" applyFont="1" applyFill="1" applyBorder="1" applyAlignment="1">
      <alignment horizontal="center" wrapText="1"/>
    </xf>
    <xf numFmtId="0" fontId="5" fillId="8" borderId="20" xfId="0" applyFont="1" applyFill="1" applyBorder="1" applyAlignment="1">
      <alignment horizontal="center" wrapText="1"/>
    </xf>
    <xf numFmtId="166" fontId="5" fillId="8" borderId="21" xfId="0" applyNumberFormat="1" applyFont="1" applyFill="1" applyBorder="1" applyAlignment="1">
      <alignment horizontal="center"/>
    </xf>
    <xf numFmtId="166" fontId="5" fillId="8" borderId="22" xfId="0" applyNumberFormat="1" applyFont="1" applyFill="1" applyBorder="1" applyAlignment="1">
      <alignment horizontal="center"/>
    </xf>
    <xf numFmtId="1" fontId="5" fillId="8" borderId="22" xfId="0" applyNumberFormat="1" applyFont="1" applyFill="1" applyBorder="1" applyAlignment="1">
      <alignment horizontal="center"/>
    </xf>
    <xf numFmtId="0" fontId="5" fillId="8" borderId="22" xfId="0" applyFont="1" applyFill="1" applyBorder="1" applyAlignment="1">
      <alignment horizontal="center"/>
    </xf>
    <xf numFmtId="0" fontId="7" fillId="8" borderId="23" xfId="0" applyFont="1" applyFill="1" applyBorder="1" applyAlignment="1">
      <alignment horizontal="center" wrapText="1"/>
    </xf>
    <xf numFmtId="0" fontId="7" fillId="8" borderId="24" xfId="0" applyFont="1" applyFill="1" applyBorder="1" applyAlignment="1">
      <alignment horizontal="center" wrapText="1"/>
    </xf>
    <xf numFmtId="164" fontId="5" fillId="8" borderId="25" xfId="0" applyNumberFormat="1" applyFont="1" applyFill="1" applyBorder="1" applyAlignment="1">
      <alignment horizontal="center"/>
    </xf>
    <xf numFmtId="164" fontId="5" fillId="8" borderId="26" xfId="0" applyNumberFormat="1" applyFont="1" applyFill="1" applyBorder="1" applyAlignment="1">
      <alignment horizontal="center"/>
    </xf>
    <xf numFmtId="166" fontId="5" fillId="8" borderId="23" xfId="0" applyNumberFormat="1" applyFont="1" applyFill="1" applyBorder="1" applyAlignment="1">
      <alignment horizontal="center" wrapText="1"/>
    </xf>
    <xf numFmtId="11" fontId="5" fillId="8" borderId="25" xfId="0" applyNumberFormat="1" applyFont="1" applyFill="1" applyBorder="1" applyAlignment="1">
      <alignment horizontal="center"/>
    </xf>
    <xf numFmtId="2" fontId="5" fillId="8" borderId="23" xfId="0" applyNumberFormat="1" applyFont="1" applyFill="1" applyBorder="1" applyAlignment="1">
      <alignment horizontal="center"/>
    </xf>
    <xf numFmtId="2" fontId="5" fillId="8" borderId="25" xfId="0" applyNumberFormat="1" applyFont="1" applyFill="1" applyBorder="1" applyAlignment="1">
      <alignment horizontal="center"/>
    </xf>
    <xf numFmtId="166" fontId="5" fillId="8" borderId="25" xfId="0" applyNumberFormat="1"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Alignment="1">
      <alignment horizontal="right"/>
    </xf>
    <xf numFmtId="0" fontId="10" fillId="5" borderId="0" xfId="0" applyFont="1" applyFill="1" applyAlignment="1">
      <alignment/>
    </xf>
    <xf numFmtId="166" fontId="10" fillId="7" borderId="27" xfId="0" applyNumberFormat="1" applyFont="1" applyFill="1" applyBorder="1" applyAlignment="1">
      <alignment horizontal="center"/>
    </xf>
    <xf numFmtId="166" fontId="10" fillId="7" borderId="28" xfId="0" applyNumberFormat="1" applyFont="1" applyFill="1" applyBorder="1" applyAlignment="1">
      <alignment horizontal="center"/>
    </xf>
    <xf numFmtId="166" fontId="4" fillId="7" borderId="28" xfId="0" applyNumberFormat="1" applyFont="1" applyFill="1" applyBorder="1" applyAlignment="1">
      <alignment horizontal="center"/>
    </xf>
    <xf numFmtId="166" fontId="4" fillId="7" borderId="29" xfId="0" applyNumberFormat="1" applyFont="1" applyFill="1" applyBorder="1" applyAlignment="1">
      <alignment horizontal="center"/>
    </xf>
    <xf numFmtId="175" fontId="4" fillId="7" borderId="17" xfId="0" applyNumberFormat="1" applyFont="1" applyFill="1" applyBorder="1" applyAlignment="1">
      <alignment/>
    </xf>
    <xf numFmtId="0" fontId="4" fillId="7" borderId="14" xfId="0" applyFont="1" applyFill="1" applyBorder="1" applyAlignment="1">
      <alignment/>
    </xf>
    <xf numFmtId="0" fontId="10" fillId="0" borderId="0" xfId="0" applyFont="1" applyFill="1" applyAlignment="1">
      <alignment horizontal="left"/>
    </xf>
    <xf numFmtId="11" fontId="0" fillId="5" borderId="0" xfId="0" applyNumberFormat="1" applyFont="1" applyFill="1" applyAlignment="1">
      <alignment/>
    </xf>
    <xf numFmtId="0" fontId="17" fillId="8" borderId="0" xfId="0" applyFont="1" applyFill="1" applyAlignment="1">
      <alignment horizontal="right"/>
    </xf>
    <xf numFmtId="166" fontId="4" fillId="7" borderId="30" xfId="0" applyNumberFormat="1" applyFont="1" applyFill="1" applyBorder="1" applyAlignment="1">
      <alignment horizontal="center"/>
    </xf>
    <xf numFmtId="166" fontId="10" fillId="7" borderId="30" xfId="0" applyNumberFormat="1" applyFont="1" applyFill="1" applyBorder="1" applyAlignment="1">
      <alignment horizontal="center"/>
    </xf>
    <xf numFmtId="166" fontId="4" fillId="8" borderId="13" xfId="0" applyNumberFormat="1" applyFont="1" applyFill="1" applyBorder="1" applyAlignment="1">
      <alignment horizontal="center"/>
    </xf>
    <xf numFmtId="166" fontId="4" fillId="8" borderId="0" xfId="0" applyNumberFormat="1" applyFont="1" applyFill="1" applyAlignment="1">
      <alignment horizontal="center"/>
    </xf>
    <xf numFmtId="0" fontId="18" fillId="0" borderId="0" xfId="57">
      <alignment/>
      <protection/>
    </xf>
    <xf numFmtId="0" fontId="0" fillId="0" borderId="0" xfId="0" applyAlignment="1">
      <alignment horizontal="left"/>
    </xf>
    <xf numFmtId="166" fontId="0" fillId="0" borderId="0" xfId="0" applyNumberFormat="1" applyAlignment="1">
      <alignment horizontal="right"/>
    </xf>
    <xf numFmtId="166" fontId="19" fillId="18" borderId="0" xfId="0" applyNumberFormat="1" applyFont="1" applyFill="1" applyAlignment="1">
      <alignment horizontal="center"/>
    </xf>
    <xf numFmtId="2" fontId="0" fillId="0" borderId="0" xfId="0" applyNumberFormat="1" applyAlignment="1">
      <alignment/>
    </xf>
    <xf numFmtId="2" fontId="0" fillId="0" borderId="0" xfId="0" applyNumberFormat="1" applyAlignment="1">
      <alignment horizontal="right"/>
    </xf>
    <xf numFmtId="11" fontId="4" fillId="5" borderId="0" xfId="0" applyNumberFormat="1" applyFont="1" applyFill="1" applyAlignment="1">
      <alignment horizontal="center"/>
    </xf>
    <xf numFmtId="2" fontId="4" fillId="5" borderId="0" xfId="0" applyNumberFormat="1" applyFont="1" applyFill="1" applyAlignment="1">
      <alignment horizontal="center"/>
    </xf>
    <xf numFmtId="170" fontId="4" fillId="5" borderId="0" xfId="0" applyNumberFormat="1" applyFont="1" applyFill="1" applyAlignment="1">
      <alignment horizontal="center"/>
    </xf>
    <xf numFmtId="0" fontId="20" fillId="0" borderId="0" xfId="0" applyFont="1" applyAlignment="1">
      <alignment/>
    </xf>
    <xf numFmtId="166" fontId="0" fillId="0" borderId="0" xfId="0" applyNumberFormat="1" applyAlignment="1">
      <alignment/>
    </xf>
    <xf numFmtId="2" fontId="0" fillId="0" borderId="0" xfId="0" applyNumberFormat="1" applyFont="1" applyFill="1" applyAlignment="1">
      <alignment horizontal="left"/>
    </xf>
    <xf numFmtId="2" fontId="0" fillId="18" borderId="0" xfId="0" applyNumberFormat="1" applyFont="1" applyFill="1" applyAlignment="1">
      <alignment/>
    </xf>
    <xf numFmtId="1" fontId="0" fillId="18" borderId="0" xfId="0" applyNumberFormat="1" applyFont="1" applyFill="1" applyAlignment="1">
      <alignment/>
    </xf>
    <xf numFmtId="2" fontId="0" fillId="0" borderId="0" xfId="0" applyNumberFormat="1" applyFont="1" applyFill="1" applyAlignment="1">
      <alignment/>
    </xf>
    <xf numFmtId="1" fontId="0" fillId="0" borderId="0" xfId="0" applyNumberFormat="1" applyFont="1" applyFill="1" applyAlignment="1">
      <alignment/>
    </xf>
    <xf numFmtId="170" fontId="0" fillId="0" borderId="0" xfId="0" applyNumberFormat="1" applyFont="1" applyFill="1" applyAlignment="1">
      <alignment/>
    </xf>
    <xf numFmtId="171" fontId="0" fillId="0" borderId="0" xfId="0" applyNumberFormat="1" applyFont="1" applyFill="1" applyAlignment="1">
      <alignment/>
    </xf>
    <xf numFmtId="1" fontId="0" fillId="7" borderId="0" xfId="0" applyNumberFormat="1" applyFont="1" applyFill="1" applyAlignment="1">
      <alignment/>
    </xf>
    <xf numFmtId="1" fontId="0" fillId="18" borderId="0" xfId="0" applyNumberFormat="1" applyFont="1" applyFill="1" applyAlignment="1">
      <alignment/>
    </xf>
    <xf numFmtId="1" fontId="0" fillId="2" borderId="0" xfId="0" applyNumberFormat="1" applyFont="1" applyFill="1" applyAlignment="1">
      <alignment/>
    </xf>
    <xf numFmtId="1" fontId="18" fillId="16" borderId="0"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plotDMMH2O._outpu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rocks!#REF!</c:f>
              <c:strCache>
                <c:ptCount val="1"/>
                <c:pt idx="0">
                  <c:v>1</c:v>
                </c:pt>
              </c:strCache>
            </c:strRef>
          </c:xVal>
          <c:yVal>
            <c:numRef>
              <c:f>rocks!#REF!</c:f>
              <c:numCache>
                <c:ptCount val="1"/>
                <c:pt idx="0">
                  <c:v>1</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strRef>
              <c:f>rocks!#REF!</c:f>
              <c:strCache>
                <c:ptCount val="1"/>
                <c:pt idx="0">
                  <c:v>1</c:v>
                </c:pt>
              </c:strCache>
            </c:strRef>
          </c:xVal>
          <c:yVal>
            <c:numRef>
              <c:f>rocks!#REF!</c:f>
              <c:numCache>
                <c:ptCount val="1"/>
                <c:pt idx="0">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strRef>
              <c:f>rocks!#REF!</c:f>
              <c:strCache>
                <c:ptCount val="1"/>
                <c:pt idx="0">
                  <c:v>1</c:v>
                </c:pt>
              </c:strCache>
            </c:strRef>
          </c:xVal>
          <c:yVal>
            <c:numRef>
              <c:f>rocks!#REF!</c:f>
              <c:numCache>
                <c:ptCount val="1"/>
                <c:pt idx="0">
                  <c:v>1</c:v>
                </c:pt>
              </c:numCache>
            </c:numRef>
          </c:yVal>
          <c:smooth val="0"/>
        </c:ser>
        <c:axId val="15618180"/>
        <c:axId val="6345893"/>
      </c:scatterChart>
      <c:valAx>
        <c:axId val="15618180"/>
        <c:scaling>
          <c:orientation val="minMax"/>
          <c:max val="100"/>
        </c:scaling>
        <c:axPos val="b"/>
        <c:delete val="0"/>
        <c:numFmt formatCode="General" sourceLinked="1"/>
        <c:majorTickMark val="out"/>
        <c:minorTickMark val="none"/>
        <c:tickLblPos val="nextTo"/>
        <c:crossAx val="6345893"/>
        <c:crosses val="autoZero"/>
        <c:crossBetween val="midCat"/>
        <c:dispUnits/>
      </c:valAx>
      <c:valAx>
        <c:axId val="6345893"/>
        <c:scaling>
          <c:orientation val="minMax"/>
        </c:scaling>
        <c:axPos val="l"/>
        <c:majorGridlines/>
        <c:delete val="0"/>
        <c:numFmt formatCode="General" sourceLinked="1"/>
        <c:majorTickMark val="out"/>
        <c:minorTickMark val="none"/>
        <c:tickLblPos val="nextTo"/>
        <c:crossAx val="1561818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0"/>
            <c:dispRSqr val="0"/>
          </c:trendline>
          <c:xVal>
            <c:strRef>
              <c:f>rocks!#REF!</c:f>
              <c:strCache>
                <c:ptCount val="1"/>
                <c:pt idx="0">
                  <c:v>1</c:v>
                </c:pt>
              </c:strCache>
            </c:strRef>
          </c:xVal>
          <c:yVal>
            <c:numRef>
              <c:f>rocks!#REF!</c:f>
              <c:numCache>
                <c:ptCount val="1"/>
                <c:pt idx="0">
                  <c:v>1</c:v>
                </c:pt>
              </c:numCache>
            </c:numRef>
          </c:yVal>
          <c:smooth val="0"/>
        </c:ser>
        <c:axId val="57113038"/>
        <c:axId val="44255295"/>
      </c:scatterChart>
      <c:valAx>
        <c:axId val="57113038"/>
        <c:scaling>
          <c:orientation val="minMax"/>
          <c:max val="100"/>
          <c:min val="0"/>
        </c:scaling>
        <c:axPos val="b"/>
        <c:delete val="0"/>
        <c:numFmt formatCode="General" sourceLinked="1"/>
        <c:majorTickMark val="out"/>
        <c:minorTickMark val="none"/>
        <c:tickLblPos val="nextTo"/>
        <c:crossAx val="44255295"/>
        <c:crosses val="autoZero"/>
        <c:crossBetween val="midCat"/>
        <c:dispUnits/>
      </c:valAx>
      <c:valAx>
        <c:axId val="44255295"/>
        <c:scaling>
          <c:orientation val="minMax"/>
        </c:scaling>
        <c:axPos val="l"/>
        <c:majorGridlines/>
        <c:delete val="0"/>
        <c:numFmt formatCode="General" sourceLinked="1"/>
        <c:majorTickMark val="out"/>
        <c:minorTickMark val="none"/>
        <c:tickLblPos val="nextTo"/>
        <c:crossAx val="5711303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'[1]rocks'!$I$109:$Y$109</c:f>
              <c:numCache>
                <c:ptCount val="17"/>
                <c:pt idx="0">
                  <c:v>53.507102966308594</c:v>
                </c:pt>
                <c:pt idx="1">
                  <c:v>49.86101150512695</c:v>
                </c:pt>
                <c:pt idx="2">
                  <c:v>49.86101150512695</c:v>
                </c:pt>
                <c:pt idx="3">
                  <c:v>49.86101150512695</c:v>
                </c:pt>
                <c:pt idx="4">
                  <c:v>49.86101150512695</c:v>
                </c:pt>
                <c:pt idx="5">
                  <c:v>49.86101150512695</c:v>
                </c:pt>
                <c:pt idx="6">
                  <c:v>49.86101150512695</c:v>
                </c:pt>
                <c:pt idx="7">
                  <c:v>49.86101150512695</c:v>
                </c:pt>
                <c:pt idx="8">
                  <c:v>49.86101150512695</c:v>
                </c:pt>
                <c:pt idx="9">
                  <c:v>50.53780746459961</c:v>
                </c:pt>
                <c:pt idx="10">
                  <c:v>50.53780746459961</c:v>
                </c:pt>
                <c:pt idx="11">
                  <c:v>50.53780746459961</c:v>
                </c:pt>
                <c:pt idx="12">
                  <c:v>50.53780746459961</c:v>
                </c:pt>
                <c:pt idx="13">
                  <c:v>50.53780746459961</c:v>
                </c:pt>
                <c:pt idx="14">
                  <c:v>50.53780746459961</c:v>
                </c:pt>
                <c:pt idx="15">
                  <c:v>50.53780746459961</c:v>
                </c:pt>
                <c:pt idx="16">
                  <c:v>50.53780746459961</c:v>
                </c:pt>
              </c:numCache>
            </c:numRef>
          </c:xVal>
          <c:yVal>
            <c:numRef>
              <c:f>'[1]rocks'!$I$72:$Y$72</c:f>
              <c:numCache>
                <c:ptCount val="17"/>
                <c:pt idx="0">
                  <c:v>0.2762455717328258</c:v>
                </c:pt>
                <c:pt idx="1">
                  <c:v>0.2757129737401284</c:v>
                </c:pt>
                <c:pt idx="2">
                  <c:v>0.28170025490677175</c:v>
                </c:pt>
                <c:pt idx="3">
                  <c:v>0.2835096882626353</c:v>
                </c:pt>
                <c:pt idx="4">
                  <c:v>0.28467176517967635</c:v>
                </c:pt>
                <c:pt idx="5">
                  <c:v>0.2869514465955902</c:v>
                </c:pt>
                <c:pt idx="6">
                  <c:v>0.2880773171581825</c:v>
                </c:pt>
                <c:pt idx="7">
                  <c:v>0.28769202065006116</c:v>
                </c:pt>
                <c:pt idx="8">
                  <c:v>0.28628128824490084</c:v>
                </c:pt>
                <c:pt idx="9">
                  <c:v>0.2695738599703418</c:v>
                </c:pt>
                <c:pt idx="10">
                  <c:v>0.27636439058591833</c:v>
                </c:pt>
                <c:pt idx="11">
                  <c:v>0.27855261911519086</c:v>
                </c:pt>
                <c:pt idx="12">
                  <c:v>0.2800714758841043</c:v>
                </c:pt>
                <c:pt idx="13">
                  <c:v>0.2830317780328949</c:v>
                </c:pt>
                <c:pt idx="14">
                  <c:v>0.28446598429762926</c:v>
                </c:pt>
                <c:pt idx="15">
                  <c:v>0.2847013684411406</c:v>
                </c:pt>
                <c:pt idx="16">
                  <c:v>0.2834876873499452</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'[1]rocks'!$I$119:$Y$119</c:f>
              <c:numCache>
                <c:ptCount val="17"/>
              </c:numCache>
            </c:numRef>
          </c:xVal>
          <c:yVal>
            <c:numRef>
              <c:f>'[1]rocks'!$I$120:$Y$120</c:f>
              <c:numCache>
                <c:ptCount val="17"/>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'[1]rocks'!$Y$119:$Y$119</c:f>
              <c:numCache>
                <c:ptCount val="1"/>
              </c:numCache>
            </c:numRef>
          </c:xVal>
          <c:yVal>
            <c:numRef>
              <c:f>'[1]rocks'!$Y$121:$Y$121</c:f>
              <c:numCache>
                <c:ptCount val="1"/>
              </c:numCache>
            </c:numRef>
          </c:yVal>
          <c:smooth val="0"/>
        </c:ser>
        <c:axId val="62753336"/>
        <c:axId val="27909113"/>
      </c:scatterChart>
      <c:valAx>
        <c:axId val="62753336"/>
        <c:scaling>
          <c:orientation val="minMax"/>
          <c:max val="100"/>
        </c:scaling>
        <c:axPos val="b"/>
        <c:delete val="0"/>
        <c:numFmt formatCode="General" sourceLinked="1"/>
        <c:majorTickMark val="out"/>
        <c:minorTickMark val="none"/>
        <c:tickLblPos val="nextTo"/>
        <c:crossAx val="27909113"/>
        <c:crosses val="autoZero"/>
        <c:crossBetween val="midCat"/>
        <c:dispUnits/>
      </c:valAx>
      <c:valAx>
        <c:axId val="27909113"/>
        <c:scaling>
          <c:orientation val="minMax"/>
        </c:scaling>
        <c:axPos val="l"/>
        <c:majorGridlines/>
        <c:delete val="0"/>
        <c:numFmt formatCode="General" sourceLinked="1"/>
        <c:majorTickMark val="out"/>
        <c:minorTickMark val="none"/>
        <c:tickLblPos val="nextTo"/>
        <c:crossAx val="6275333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0"/>
            <c:dispRSqr val="0"/>
          </c:trendline>
          <c:xVal>
            <c:numRef>
              <c:f>'[1]rocks'!$I$108:$Y$108</c:f>
              <c:numCache>
                <c:ptCount val="17"/>
              </c:numCache>
            </c:numRef>
          </c:xVal>
          <c:yVal>
            <c:numRef>
              <c:f>'[1]rocks'!$I$79:$Y$79</c:f>
              <c:numCache>
                <c:ptCount val="17"/>
                <c:pt idx="0">
                  <c:v>0.2762455717328258</c:v>
                </c:pt>
                <c:pt idx="1">
                  <c:v>0.2757129737401283</c:v>
                </c:pt>
                <c:pt idx="2">
                  <c:v>0.28170025490677164</c:v>
                </c:pt>
                <c:pt idx="3">
                  <c:v>0.28350968826263523</c:v>
                </c:pt>
                <c:pt idx="4">
                  <c:v>0.2846717651796764</c:v>
                </c:pt>
                <c:pt idx="5">
                  <c:v>0.2869514465955902</c:v>
                </c:pt>
                <c:pt idx="6">
                  <c:v>0.28807731715818247</c:v>
                </c:pt>
                <c:pt idx="7">
                  <c:v>0.28769202065006105</c:v>
                </c:pt>
                <c:pt idx="8">
                  <c:v>0.28628128824490084</c:v>
                </c:pt>
                <c:pt idx="9">
                  <c:v>0.2695738599703417</c:v>
                </c:pt>
                <c:pt idx="10">
                  <c:v>0.27636439058591833</c:v>
                </c:pt>
                <c:pt idx="11">
                  <c:v>0.2785526191151909</c:v>
                </c:pt>
                <c:pt idx="12">
                  <c:v>0.2800714758841043</c:v>
                </c:pt>
                <c:pt idx="13">
                  <c:v>0.283031778032895</c:v>
                </c:pt>
                <c:pt idx="14">
                  <c:v>0.2844659842976292</c:v>
                </c:pt>
                <c:pt idx="15">
                  <c:v>0.2847013684411406</c:v>
                </c:pt>
                <c:pt idx="16">
                  <c:v>0.2834876873499452</c:v>
                </c:pt>
              </c:numCache>
            </c:numRef>
          </c:yVal>
          <c:smooth val="0"/>
        </c:ser>
        <c:axId val="49855426"/>
        <c:axId val="46045651"/>
      </c:scatterChart>
      <c:valAx>
        <c:axId val="49855426"/>
        <c:scaling>
          <c:orientation val="minMax"/>
          <c:max val="100"/>
          <c:min val="0"/>
        </c:scaling>
        <c:axPos val="b"/>
        <c:delete val="0"/>
        <c:numFmt formatCode="General" sourceLinked="1"/>
        <c:majorTickMark val="out"/>
        <c:minorTickMark val="none"/>
        <c:tickLblPos val="nextTo"/>
        <c:crossAx val="46045651"/>
        <c:crosses val="autoZero"/>
        <c:crossBetween val="midCat"/>
        <c:dispUnits/>
      </c:valAx>
      <c:valAx>
        <c:axId val="46045651"/>
        <c:scaling>
          <c:orientation val="minMax"/>
        </c:scaling>
        <c:axPos val="l"/>
        <c:majorGridlines/>
        <c:delete val="0"/>
        <c:numFmt formatCode="General" sourceLinked="1"/>
        <c:majorTickMark val="out"/>
        <c:minorTickMark val="none"/>
        <c:tickLblPos val="nextTo"/>
        <c:crossAx val="4985542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minerals!$M$6:$M$60</c:f>
              <c:numCache>
                <c:ptCount val="55"/>
                <c:pt idx="0">
                  <c:v>7.158482127781923</c:v>
                </c:pt>
                <c:pt idx="1">
                  <c:v>7.8003845612866645</c:v>
                </c:pt>
                <c:pt idx="2">
                  <c:v>6.138352729437164</c:v>
                </c:pt>
                <c:pt idx="3">
                  <c:v>6.138163344875247</c:v>
                </c:pt>
                <c:pt idx="4">
                  <c:v>6.872132257907993</c:v>
                </c:pt>
                <c:pt idx="5">
                  <c:v>6.053671409882306</c:v>
                </c:pt>
                <c:pt idx="6">
                  <c:v>6.476284213034223</c:v>
                </c:pt>
                <c:pt idx="7">
                  <c:v>8.024272135097474</c:v>
                </c:pt>
                <c:pt idx="8">
                  <c:v>9.02121817439793</c:v>
                </c:pt>
                <c:pt idx="9">
                  <c:v>8.808594393941508</c:v>
                </c:pt>
                <c:pt idx="10">
                  <c:v>8.135663287557321</c:v>
                </c:pt>
                <c:pt idx="11">
                  <c:v>6.618333333037414</c:v>
                </c:pt>
                <c:pt idx="12">
                  <c:v>7.600462028187549</c:v>
                </c:pt>
                <c:pt idx="13">
                  <c:v>5.992026764463353</c:v>
                </c:pt>
                <c:pt idx="14">
                  <c:v>8.726862069330894</c:v>
                </c:pt>
                <c:pt idx="15">
                  <c:v>7.865829770014774</c:v>
                </c:pt>
                <c:pt idx="16">
                  <c:v>7.097104470366725</c:v>
                </c:pt>
                <c:pt idx="17">
                  <c:v>8.695891313702786</c:v>
                </c:pt>
                <c:pt idx="18">
                  <c:v>7.221631905062727</c:v>
                </c:pt>
                <c:pt idx="19">
                  <c:v>7.655122632436482</c:v>
                </c:pt>
                <c:pt idx="20">
                  <c:v>7.431792403029079</c:v>
                </c:pt>
                <c:pt idx="21">
                  <c:v>6.6920443429749</c:v>
                </c:pt>
                <c:pt idx="22">
                  <c:v>6.88859819290721</c:v>
                </c:pt>
                <c:pt idx="23">
                  <c:v>6.079869204833332</c:v>
                </c:pt>
                <c:pt idx="24">
                  <c:v>6.455334290677377</c:v>
                </c:pt>
                <c:pt idx="25">
                  <c:v>7.229996702208853</c:v>
                </c:pt>
                <c:pt idx="26">
                  <c:v>6.587569856678336</c:v>
                </c:pt>
                <c:pt idx="27">
                  <c:v>6.310946113907974</c:v>
                </c:pt>
                <c:pt idx="28">
                  <c:v>5.135217299151445</c:v>
                </c:pt>
                <c:pt idx="29">
                  <c:v>4.75281537363596</c:v>
                </c:pt>
                <c:pt idx="30">
                  <c:v>5.967821904232793</c:v>
                </c:pt>
                <c:pt idx="31">
                  <c:v>5.837681484045042</c:v>
                </c:pt>
                <c:pt idx="32">
                  <c:v>6.420102013542335</c:v>
                </c:pt>
                <c:pt idx="33">
                  <c:v>6.68989512189807</c:v>
                </c:pt>
                <c:pt idx="34">
                  <c:v>5.93943548333294</c:v>
                </c:pt>
                <c:pt idx="35">
                  <c:v>6.350428130386721</c:v>
                </c:pt>
                <c:pt idx="36">
                  <c:v>7.287124418846696</c:v>
                </c:pt>
                <c:pt idx="37">
                  <c:v>7.582337611616383</c:v>
                </c:pt>
                <c:pt idx="38">
                  <c:v>7.677611596784616</c:v>
                </c:pt>
                <c:pt idx="39">
                  <c:v>7.660398228819873</c:v>
                </c:pt>
                <c:pt idx="40">
                  <c:v>6.951010186479735</c:v>
                </c:pt>
                <c:pt idx="41">
                  <c:v>9.13975315169984</c:v>
                </c:pt>
                <c:pt idx="42">
                  <c:v>5.535960265927333</c:v>
                </c:pt>
                <c:pt idx="43">
                  <c:v>5.5698344647777205</c:v>
                </c:pt>
                <c:pt idx="44">
                  <c:v>5.817089883736931</c:v>
                </c:pt>
                <c:pt idx="45">
                  <c:v>8.07556425502153</c:v>
                </c:pt>
                <c:pt idx="46">
                  <c:v>7.109135509956211</c:v>
                </c:pt>
                <c:pt idx="47">
                  <c:v>9.3887721225607</c:v>
                </c:pt>
                <c:pt idx="48">
                  <c:v>8.174634353169344</c:v>
                </c:pt>
                <c:pt idx="49">
                  <c:v>9.375537914463902</c:v>
                </c:pt>
                <c:pt idx="50">
                  <c:v>8.42386720344057</c:v>
                </c:pt>
                <c:pt idx="51">
                  <c:v>6.995124700460681</c:v>
                </c:pt>
                <c:pt idx="52">
                  <c:v>6.386091704864869</c:v>
                </c:pt>
                <c:pt idx="53">
                  <c:v>5.216813590172919</c:v>
                </c:pt>
                <c:pt idx="54">
                  <c:v>7.588088526084761</c:v>
                </c:pt>
              </c:numCache>
            </c:numRef>
          </c:val>
          <c:smooth val="0"/>
        </c:ser>
        <c:marker val="1"/>
        <c:axId val="11757676"/>
        <c:axId val="38710221"/>
      </c:lineChart>
      <c:catAx>
        <c:axId val="11757676"/>
        <c:scaling>
          <c:orientation val="minMax"/>
        </c:scaling>
        <c:axPos val="b"/>
        <c:delete val="0"/>
        <c:numFmt formatCode="General" sourceLinked="1"/>
        <c:majorTickMark val="out"/>
        <c:minorTickMark val="none"/>
        <c:tickLblPos val="nextTo"/>
        <c:crossAx val="38710221"/>
        <c:crosses val="autoZero"/>
        <c:auto val="1"/>
        <c:lblOffset val="100"/>
        <c:noMultiLvlLbl val="0"/>
      </c:catAx>
      <c:valAx>
        <c:axId val="38710221"/>
        <c:scaling>
          <c:orientation val="minMax"/>
        </c:scaling>
        <c:axPos val="l"/>
        <c:majorGridlines/>
        <c:delete val="0"/>
        <c:numFmt formatCode="General" sourceLinked="1"/>
        <c:majorTickMark val="out"/>
        <c:minorTickMark val="none"/>
        <c:tickLblPos val="nextTo"/>
        <c:crossAx val="117576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65</xdr:row>
      <xdr:rowOff>28575</xdr:rowOff>
    </xdr:from>
    <xdr:to>
      <xdr:col>2</xdr:col>
      <xdr:colOff>0</xdr:colOff>
      <xdr:row>115</xdr:row>
      <xdr:rowOff>47625</xdr:rowOff>
    </xdr:to>
    <xdr:graphicFrame>
      <xdr:nvGraphicFramePr>
        <xdr:cNvPr id="1" name="Chart 40"/>
        <xdr:cNvGraphicFramePr/>
      </xdr:nvGraphicFramePr>
      <xdr:xfrm>
        <a:off x="1952625" y="10658475"/>
        <a:ext cx="0" cy="81153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44</xdr:row>
      <xdr:rowOff>152400</xdr:rowOff>
    </xdr:from>
    <xdr:to>
      <xdr:col>2</xdr:col>
      <xdr:colOff>0</xdr:colOff>
      <xdr:row>95</xdr:row>
      <xdr:rowOff>19050</xdr:rowOff>
    </xdr:to>
    <xdr:graphicFrame>
      <xdr:nvGraphicFramePr>
        <xdr:cNvPr id="2" name="Chart 41"/>
        <xdr:cNvGraphicFramePr/>
      </xdr:nvGraphicFramePr>
      <xdr:xfrm>
        <a:off x="1952625" y="7391400"/>
        <a:ext cx="0" cy="81153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65</xdr:row>
      <xdr:rowOff>28575</xdr:rowOff>
    </xdr:from>
    <xdr:to>
      <xdr:col>2</xdr:col>
      <xdr:colOff>0</xdr:colOff>
      <xdr:row>115</xdr:row>
      <xdr:rowOff>47625</xdr:rowOff>
    </xdr:to>
    <xdr:graphicFrame>
      <xdr:nvGraphicFramePr>
        <xdr:cNvPr id="3" name="Chart 62"/>
        <xdr:cNvGraphicFramePr/>
      </xdr:nvGraphicFramePr>
      <xdr:xfrm>
        <a:off x="1952625" y="10658475"/>
        <a:ext cx="0" cy="81153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44</xdr:row>
      <xdr:rowOff>152400</xdr:rowOff>
    </xdr:from>
    <xdr:to>
      <xdr:col>2</xdr:col>
      <xdr:colOff>0</xdr:colOff>
      <xdr:row>95</xdr:row>
      <xdr:rowOff>19050</xdr:rowOff>
    </xdr:to>
    <xdr:graphicFrame>
      <xdr:nvGraphicFramePr>
        <xdr:cNvPr id="4" name="Chart 63"/>
        <xdr:cNvGraphicFramePr/>
      </xdr:nvGraphicFramePr>
      <xdr:xfrm>
        <a:off x="1952625" y="7391400"/>
        <a:ext cx="0" cy="81153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26</xdr:row>
      <xdr:rowOff>85725</xdr:rowOff>
    </xdr:from>
    <xdr:to>
      <xdr:col>38</xdr:col>
      <xdr:colOff>200025</xdr:colOff>
      <xdr:row>69</xdr:row>
      <xdr:rowOff>85725</xdr:rowOff>
    </xdr:to>
    <xdr:graphicFrame>
      <xdr:nvGraphicFramePr>
        <xdr:cNvPr id="1" name="Chart 4"/>
        <xdr:cNvGraphicFramePr/>
      </xdr:nvGraphicFramePr>
      <xdr:xfrm>
        <a:off x="14220825" y="5286375"/>
        <a:ext cx="19250025" cy="8534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rchive\Tibet%20&amp;%20Himalaya\Hacker&amp;AbersMacroDec2012%20Tib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rocks"/>
      <sheetName val="minerals"/>
      <sheetName val="rock mineral modes"/>
      <sheetName val="Vp"/>
      <sheetName val="Vs"/>
      <sheetName val="density"/>
    </sheetNames>
    <sheetDataSet>
      <sheetData sheetId="1">
        <row r="72">
          <cell r="I72">
            <v>0.2762455717328258</v>
          </cell>
          <cell r="J72">
            <v>0.2757129737401284</v>
          </cell>
          <cell r="K72">
            <v>0.28170025490677175</v>
          </cell>
          <cell r="L72">
            <v>0.2835096882626353</v>
          </cell>
          <cell r="M72">
            <v>0.28467176517967635</v>
          </cell>
          <cell r="N72">
            <v>0.2869514465955902</v>
          </cell>
          <cell r="O72">
            <v>0.2880773171581825</v>
          </cell>
          <cell r="P72">
            <v>0.28769202065006116</v>
          </cell>
          <cell r="Q72">
            <v>0.28628128824490084</v>
          </cell>
          <cell r="R72">
            <v>0.2695738599703418</v>
          </cell>
          <cell r="S72">
            <v>0.27636439058591833</v>
          </cell>
          <cell r="T72">
            <v>0.27855261911519086</v>
          </cell>
          <cell r="U72">
            <v>0.2800714758841043</v>
          </cell>
          <cell r="V72">
            <v>0.2830317780328949</v>
          </cell>
          <cell r="W72">
            <v>0.28446598429762926</v>
          </cell>
          <cell r="X72">
            <v>0.2847013684411406</v>
          </cell>
          <cell r="Y72">
            <v>0.2834876873499452</v>
          </cell>
        </row>
        <row r="79">
          <cell r="I79">
            <v>0.2762455717328258</v>
          </cell>
          <cell r="J79">
            <v>0.2757129737401283</v>
          </cell>
          <cell r="K79">
            <v>0.28170025490677164</v>
          </cell>
          <cell r="L79">
            <v>0.28350968826263523</v>
          </cell>
          <cell r="M79">
            <v>0.2846717651796764</v>
          </cell>
          <cell r="N79">
            <v>0.2869514465955902</v>
          </cell>
          <cell r="O79">
            <v>0.28807731715818247</v>
          </cell>
          <cell r="P79">
            <v>0.28769202065006105</v>
          </cell>
          <cell r="Q79">
            <v>0.28628128824490084</v>
          </cell>
          <cell r="R79">
            <v>0.2695738599703417</v>
          </cell>
          <cell r="S79">
            <v>0.27636439058591833</v>
          </cell>
          <cell r="T79">
            <v>0.2785526191151909</v>
          </cell>
          <cell r="U79">
            <v>0.2800714758841043</v>
          </cell>
          <cell r="V79">
            <v>0.283031778032895</v>
          </cell>
          <cell r="W79">
            <v>0.2844659842976292</v>
          </cell>
          <cell r="X79">
            <v>0.2847013684411406</v>
          </cell>
          <cell r="Y79">
            <v>0.2834876873499452</v>
          </cell>
        </row>
        <row r="109">
          <cell r="I109">
            <v>53.507102966308594</v>
          </cell>
          <cell r="J109">
            <v>49.86101150512695</v>
          </cell>
          <cell r="K109">
            <v>49.86101150512695</v>
          </cell>
          <cell r="L109">
            <v>49.86101150512695</v>
          </cell>
          <cell r="M109">
            <v>49.86101150512695</v>
          </cell>
          <cell r="N109">
            <v>49.86101150512695</v>
          </cell>
          <cell r="O109">
            <v>49.86101150512695</v>
          </cell>
          <cell r="P109">
            <v>49.86101150512695</v>
          </cell>
          <cell r="Q109">
            <v>49.86101150512695</v>
          </cell>
          <cell r="R109">
            <v>50.53780746459961</v>
          </cell>
          <cell r="S109">
            <v>50.53780746459961</v>
          </cell>
          <cell r="T109">
            <v>50.53780746459961</v>
          </cell>
          <cell r="U109">
            <v>50.53780746459961</v>
          </cell>
          <cell r="V109">
            <v>50.53780746459961</v>
          </cell>
          <cell r="W109">
            <v>50.53780746459961</v>
          </cell>
          <cell r="X109">
            <v>50.53780746459961</v>
          </cell>
          <cell r="Y109">
            <v>50.53780746459961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pageSetUpPr fitToPage="1"/>
  </sheetPr>
  <dimension ref="A1:IV162"/>
  <sheetViews>
    <sheetView zoomScale="75" zoomScaleNormal="75"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13" sqref="A13:IV15"/>
    </sheetView>
  </sheetViews>
  <sheetFormatPr defaultColWidth="10.8984375" defaultRowHeight="15"/>
  <cols>
    <col min="1" max="1" width="15" style="14" customWidth="1"/>
    <col min="2" max="2" width="8.59765625" style="1" customWidth="1"/>
    <col min="3" max="3" width="11.5" style="1" customWidth="1"/>
    <col min="4" max="4" width="8.5" style="5" customWidth="1"/>
    <col min="5" max="5" width="5.8984375" style="4" customWidth="1"/>
    <col min="6" max="6" width="9.59765625" style="2" bestFit="1" customWidth="1"/>
    <col min="7" max="7" width="6.09765625" style="2" customWidth="1"/>
    <col min="8" max="8" width="11.09765625" style="3" customWidth="1"/>
    <col min="9" max="9" width="6.59765625" style="3" customWidth="1"/>
    <col min="10" max="10" width="10.09765625" style="6" bestFit="1" customWidth="1"/>
    <col min="11" max="11" width="5.59765625" style="6" customWidth="1"/>
    <col min="12" max="12" width="9.09765625" style="3" customWidth="1"/>
    <col min="13" max="13" width="6.3984375" style="3" customWidth="1"/>
    <col min="14" max="14" width="7.59765625" style="2" bestFit="1" customWidth="1"/>
    <col min="15" max="15" width="5.59765625" style="2" customWidth="1"/>
    <col min="16" max="16" width="7.8984375" style="6" customWidth="1"/>
    <col min="17" max="17" width="5.59765625" style="6" customWidth="1"/>
    <col min="18" max="18" width="6.5" style="1" customWidth="1"/>
    <col min="19" max="19" width="5.59765625" style="1" customWidth="1"/>
    <col min="20" max="20" width="7.59765625" style="6" customWidth="1"/>
    <col min="21" max="21" width="5.59765625" style="6" customWidth="1"/>
    <col min="22" max="22" width="3.5" style="5" customWidth="1"/>
    <col min="23" max="31" width="3.5" style="4" customWidth="1"/>
    <col min="32" max="32" width="1.390625" style="4" customWidth="1"/>
    <col min="33" max="33" width="4.5" style="4" customWidth="1"/>
    <col min="34" max="34" width="6.3984375" style="4" bestFit="1" customWidth="1"/>
    <col min="35" max="35" width="6.09765625" style="4" bestFit="1" customWidth="1"/>
    <col min="36" max="37" width="7.3984375" style="4" bestFit="1" customWidth="1"/>
    <col min="38" max="38" width="5.59765625" style="4" bestFit="1" customWidth="1"/>
    <col min="39" max="39" width="5.5" style="4" bestFit="1" customWidth="1"/>
    <col min="40" max="40" width="5.3984375" style="4" bestFit="1" customWidth="1"/>
    <col min="41" max="41" width="5.59765625" style="4" bestFit="1" customWidth="1"/>
    <col min="42" max="42" width="1.390625" style="4" customWidth="1"/>
    <col min="43" max="52" width="4.19921875" style="4" customWidth="1"/>
    <col min="53" max="53" width="9.3984375" style="4" customWidth="1"/>
    <col min="54" max="54" width="1.390625" style="4" customWidth="1"/>
    <col min="55" max="63" width="4.19921875" style="4" customWidth="1"/>
    <col min="64" max="16384" width="10.8984375" style="4" customWidth="1"/>
  </cols>
  <sheetData>
    <row r="1" spans="1:31" ht="15.75">
      <c r="A1" s="13" t="s">
        <v>96</v>
      </c>
      <c r="R1" s="106"/>
      <c r="V1" s="84"/>
      <c r="W1" s="1"/>
      <c r="X1" s="84"/>
      <c r="Y1" s="85"/>
      <c r="Z1" s="87"/>
      <c r="AA1" s="87"/>
      <c r="AB1" s="88"/>
      <c r="AC1" s="88"/>
      <c r="AD1" s="88"/>
      <c r="AE1" s="88"/>
    </row>
    <row r="2" spans="1:31" ht="15.75">
      <c r="A2" s="13" t="s">
        <v>145</v>
      </c>
      <c r="V2" s="86"/>
      <c r="W2" s="8"/>
      <c r="X2" s="86"/>
      <c r="Y2" s="86"/>
      <c r="Z2" s="83"/>
      <c r="AA2" s="83"/>
      <c r="AB2" s="86"/>
      <c r="AC2" s="86"/>
      <c r="AD2" s="86"/>
      <c r="AE2" s="86"/>
    </row>
    <row r="3" spans="1:43" ht="78.75">
      <c r="A3" s="37" t="str">
        <f>"version 
2009
  "</f>
        <v>version 
2009
  </v>
      </c>
      <c r="B3" s="133" t="s">
        <v>346</v>
      </c>
      <c r="C3" s="134" t="s">
        <v>347</v>
      </c>
      <c r="D3" s="135" t="s">
        <v>348</v>
      </c>
      <c r="E3" s="136" t="s">
        <v>349</v>
      </c>
      <c r="F3" s="141" t="s">
        <v>222</v>
      </c>
      <c r="G3" s="142" t="s">
        <v>223</v>
      </c>
      <c r="H3" s="145" t="s">
        <v>109</v>
      </c>
      <c r="I3" s="142" t="s">
        <v>223</v>
      </c>
      <c r="J3" s="147" t="s">
        <v>241</v>
      </c>
      <c r="K3" s="142" t="s">
        <v>223</v>
      </c>
      <c r="L3" s="145" t="s">
        <v>108</v>
      </c>
      <c r="M3" s="142" t="s">
        <v>223</v>
      </c>
      <c r="N3" s="145" t="s">
        <v>323</v>
      </c>
      <c r="O3" s="142" t="s">
        <v>223</v>
      </c>
      <c r="P3" s="147" t="s">
        <v>324</v>
      </c>
      <c r="Q3" s="142" t="s">
        <v>223</v>
      </c>
      <c r="R3" s="145" t="s">
        <v>14</v>
      </c>
      <c r="S3" s="142" t="s">
        <v>223</v>
      </c>
      <c r="T3" s="145" t="s">
        <v>251</v>
      </c>
      <c r="U3" s="142" t="s">
        <v>223</v>
      </c>
      <c r="V3" s="89" t="str">
        <f>"- - - - mineral formulae from HoPo - - - -"</f>
        <v>- - - - mineral formulae from HoPo - - - -</v>
      </c>
      <c r="W3" s="90"/>
      <c r="X3" s="90"/>
      <c r="Y3" s="90"/>
      <c r="Z3" s="90"/>
      <c r="AA3" s="90"/>
      <c r="AB3" s="90"/>
      <c r="AC3" s="90"/>
      <c r="AD3" s="90"/>
      <c r="AE3" s="90"/>
      <c r="AF3" s="90"/>
      <c r="AG3" s="38" t="s">
        <v>349</v>
      </c>
      <c r="AH3" s="38" t="s">
        <v>421</v>
      </c>
      <c r="AI3" s="38" t="s">
        <v>414</v>
      </c>
      <c r="AJ3" s="38" t="s">
        <v>415</v>
      </c>
      <c r="AK3" s="38" t="s">
        <v>416</v>
      </c>
      <c r="AL3" s="38" t="s">
        <v>417</v>
      </c>
      <c r="AM3" s="38" t="s">
        <v>418</v>
      </c>
      <c r="AN3" s="38" t="s">
        <v>419</v>
      </c>
      <c r="AO3" s="38" t="s">
        <v>420</v>
      </c>
      <c r="AQ3" s="4" t="s">
        <v>405</v>
      </c>
    </row>
    <row r="4" spans="1:53" s="10" customFormat="1" ht="15.75">
      <c r="A4" s="20" t="s">
        <v>273</v>
      </c>
      <c r="B4" s="137" t="s">
        <v>268</v>
      </c>
      <c r="C4" s="138" t="s">
        <v>284</v>
      </c>
      <c r="D4" s="139" t="s">
        <v>350</v>
      </c>
      <c r="E4" s="140" t="s">
        <v>175</v>
      </c>
      <c r="F4" s="143" t="s">
        <v>261</v>
      </c>
      <c r="G4" s="144" t="s">
        <v>188</v>
      </c>
      <c r="H4" s="146" t="s">
        <v>227</v>
      </c>
      <c r="I4" s="144" t="s">
        <v>188</v>
      </c>
      <c r="J4" s="148" t="s">
        <v>259</v>
      </c>
      <c r="K4" s="144" t="s">
        <v>188</v>
      </c>
      <c r="L4" s="146" t="s">
        <v>178</v>
      </c>
      <c r="M4" s="144" t="s">
        <v>188</v>
      </c>
      <c r="N4" s="149" t="s">
        <v>248</v>
      </c>
      <c r="O4" s="144" t="s">
        <v>188</v>
      </c>
      <c r="P4" s="148" t="s">
        <v>179</v>
      </c>
      <c r="Q4" s="144" t="s">
        <v>188</v>
      </c>
      <c r="R4" s="149" t="s">
        <v>15</v>
      </c>
      <c r="S4" s="144" t="s">
        <v>188</v>
      </c>
      <c r="T4" s="148" t="s">
        <v>260</v>
      </c>
      <c r="U4" s="144" t="s">
        <v>188</v>
      </c>
      <c r="V4" s="31" t="s">
        <v>395</v>
      </c>
      <c r="W4" s="39" t="s">
        <v>396</v>
      </c>
      <c r="X4" s="39" t="s">
        <v>397</v>
      </c>
      <c r="Y4" s="39" t="s">
        <v>398</v>
      </c>
      <c r="Z4" s="39" t="s">
        <v>399</v>
      </c>
      <c r="AA4" s="39" t="s">
        <v>400</v>
      </c>
      <c r="AB4" s="39" t="s">
        <v>401</v>
      </c>
      <c r="AC4" s="39" t="s">
        <v>402</v>
      </c>
      <c r="AD4" s="39" t="s">
        <v>403</v>
      </c>
      <c r="AE4" s="39" t="s">
        <v>404</v>
      </c>
      <c r="AF4" s="39"/>
      <c r="AG4" s="39"/>
      <c r="AH4" s="39" t="s">
        <v>408</v>
      </c>
      <c r="AI4" s="39" t="s">
        <v>410</v>
      </c>
      <c r="AJ4" s="39" t="s">
        <v>412</v>
      </c>
      <c r="AK4" s="39" t="s">
        <v>35</v>
      </c>
      <c r="AL4" s="39" t="s">
        <v>407</v>
      </c>
      <c r="AM4" s="39" t="s">
        <v>409</v>
      </c>
      <c r="AN4" s="39" t="s">
        <v>411</v>
      </c>
      <c r="AO4" s="39" t="s">
        <v>413</v>
      </c>
      <c r="AQ4" s="72" t="s">
        <v>395</v>
      </c>
      <c r="AR4" s="10" t="s">
        <v>396</v>
      </c>
      <c r="AS4" s="10" t="s">
        <v>397</v>
      </c>
      <c r="AT4" s="10" t="s">
        <v>398</v>
      </c>
      <c r="AU4" s="10" t="s">
        <v>399</v>
      </c>
      <c r="AV4" s="10" t="s">
        <v>400</v>
      </c>
      <c r="AW4" s="10" t="s">
        <v>401</v>
      </c>
      <c r="AX4" s="10" t="s">
        <v>402</v>
      </c>
      <c r="AY4" s="10" t="s">
        <v>403</v>
      </c>
      <c r="AZ4" s="10" t="s">
        <v>404</v>
      </c>
      <c r="BA4" s="10" t="s">
        <v>406</v>
      </c>
    </row>
    <row r="5" spans="1:53" ht="15.75">
      <c r="A5" s="22" t="s">
        <v>288</v>
      </c>
      <c r="B5" s="49">
        <v>60.085</v>
      </c>
      <c r="C5" s="96">
        <v>22.76</v>
      </c>
      <c r="D5" s="97">
        <v>2640</v>
      </c>
      <c r="E5" s="51">
        <v>0</v>
      </c>
      <c r="F5" s="52">
        <v>6.5E-06</v>
      </c>
      <c r="G5" s="52" t="s">
        <v>224</v>
      </c>
      <c r="H5" s="160">
        <v>37120000000</v>
      </c>
      <c r="I5" s="160" t="s">
        <v>233</v>
      </c>
      <c r="J5" s="68">
        <v>5.99</v>
      </c>
      <c r="K5" s="67" t="s">
        <v>233</v>
      </c>
      <c r="L5" s="67">
        <v>44860000000</v>
      </c>
      <c r="M5" s="67" t="s">
        <v>599</v>
      </c>
      <c r="N5" s="96">
        <v>1.8</v>
      </c>
      <c r="O5" s="68" t="s">
        <v>600</v>
      </c>
      <c r="P5" s="96">
        <v>1.7</v>
      </c>
      <c r="Q5" s="68" t="s">
        <v>619</v>
      </c>
      <c r="R5" s="96">
        <v>0.6</v>
      </c>
      <c r="S5" s="96" t="s">
        <v>600</v>
      </c>
      <c r="T5" s="97">
        <v>10</v>
      </c>
      <c r="U5" s="68" t="s">
        <v>624</v>
      </c>
      <c r="W5" s="4">
        <v>2</v>
      </c>
      <c r="AA5" s="4">
        <v>1</v>
      </c>
      <c r="AG5" s="5">
        <f>100*V5*oxideH/$BA5</f>
        <v>0</v>
      </c>
      <c r="AH5" s="5">
        <f>100*X5*oxideNa/$BA5</f>
        <v>0</v>
      </c>
      <c r="AI5" s="5">
        <f>100*Y5*oxideMg/$BA5</f>
        <v>0</v>
      </c>
      <c r="AJ5" s="5">
        <f>100*Z5*oxideAl/$BA5</f>
        <v>0</v>
      </c>
      <c r="AK5" s="5">
        <f>100*AA5*oxideSi/$BA5</f>
        <v>100.00665712478781</v>
      </c>
      <c r="AL5" s="5">
        <f>100*AB5*oxideK/$BA5</f>
        <v>0</v>
      </c>
      <c r="AM5" s="5">
        <f>100*AC5*oxideCa/$BA5</f>
        <v>0</v>
      </c>
      <c r="AN5" s="5">
        <f>100*AD5*oxideFe/$BA5</f>
        <v>0</v>
      </c>
      <c r="AO5" s="5">
        <f>100*AE5*oxideC/$BA5</f>
        <v>0</v>
      </c>
      <c r="AQ5" s="4">
        <f aca="true" t="shared" si="0" ref="AQ5:AQ39">V5*atwtH</f>
        <v>0</v>
      </c>
      <c r="AR5" s="4">
        <f aca="true" t="shared" si="1" ref="AR5:AR39">W5*atwtO</f>
        <v>32</v>
      </c>
      <c r="AS5" s="4">
        <f aca="true" t="shared" si="2" ref="AS5:AS39">X5*atwtNa</f>
        <v>0</v>
      </c>
      <c r="AT5" s="4">
        <f aca="true" t="shared" si="3" ref="AT5:AT39">Y5*atwtMg</f>
        <v>0</v>
      </c>
      <c r="AU5" s="4">
        <f aca="true" t="shared" si="4" ref="AU5:AU39">Z5*atwtAl</f>
        <v>0</v>
      </c>
      <c r="AV5" s="4">
        <f aca="true" t="shared" si="5" ref="AV5:AV39">AA5*atwtSi</f>
        <v>28.086</v>
      </c>
      <c r="AW5" s="4">
        <f aca="true" t="shared" si="6" ref="AW5:AW39">AB5*atwtK</f>
        <v>0</v>
      </c>
      <c r="AX5" s="4">
        <f aca="true" t="shared" si="7" ref="AX5:AX39">AC5*atwtCa</f>
        <v>0</v>
      </c>
      <c r="AY5" s="4">
        <f aca="true" t="shared" si="8" ref="AY5:AY39">AD5*atwtFe</f>
        <v>0</v>
      </c>
      <c r="AZ5" s="4">
        <f aca="true" t="shared" si="9" ref="AZ5:AZ39">AE5*atwtC</f>
        <v>0</v>
      </c>
      <c r="BA5" s="4">
        <f>SUM(AQ5:AZ5)</f>
        <v>60.086</v>
      </c>
    </row>
    <row r="6" spans="1:53" ht="15.75">
      <c r="A6" s="18" t="s">
        <v>289</v>
      </c>
      <c r="B6" s="49">
        <v>60.085</v>
      </c>
      <c r="C6" s="96">
        <v>23.71</v>
      </c>
      <c r="D6" s="97">
        <v>2522</v>
      </c>
      <c r="E6" s="51">
        <v>0</v>
      </c>
      <c r="F6" s="98">
        <v>-1.2E-06</v>
      </c>
      <c r="G6" s="98" t="s">
        <v>621</v>
      </c>
      <c r="H6" s="67">
        <v>42970000000</v>
      </c>
      <c r="I6" s="67" t="s">
        <v>599</v>
      </c>
      <c r="J6" s="50">
        <v>4</v>
      </c>
      <c r="K6" s="54" t="s">
        <v>110</v>
      </c>
      <c r="L6" s="67">
        <v>41410000000</v>
      </c>
      <c r="M6" s="67" t="s">
        <v>599</v>
      </c>
      <c r="N6" s="97">
        <v>100</v>
      </c>
      <c r="O6" s="68" t="s">
        <v>624</v>
      </c>
      <c r="P6" s="68">
        <v>1</v>
      </c>
      <c r="Q6" s="68" t="s">
        <v>624</v>
      </c>
      <c r="R6" s="68">
        <v>0</v>
      </c>
      <c r="S6" s="96" t="s">
        <v>621</v>
      </c>
      <c r="T6" s="97">
        <v>1200</v>
      </c>
      <c r="U6" s="68" t="s">
        <v>624</v>
      </c>
      <c r="W6" s="4">
        <v>2</v>
      </c>
      <c r="AA6" s="4">
        <v>1</v>
      </c>
      <c r="AG6" s="5">
        <f aca="true" t="shared" si="10" ref="AG6:AG59">100*V6*oxideH/$BA6</f>
        <v>0</v>
      </c>
      <c r="AH6" s="5">
        <f aca="true" t="shared" si="11" ref="AH6:AH59">100*X6*oxideNa/$BA6</f>
        <v>0</v>
      </c>
      <c r="AI6" s="5">
        <f aca="true" t="shared" si="12" ref="AI6:AI59">100*Y6*oxideMg/$BA6</f>
        <v>0</v>
      </c>
      <c r="AJ6" s="5">
        <f aca="true" t="shared" si="13" ref="AJ6:AJ59">100*Z6*oxideAl/$BA6</f>
        <v>0</v>
      </c>
      <c r="AK6" s="5">
        <f aca="true" t="shared" si="14" ref="AK6:AK59">100*AA6*oxideSi/$BA6</f>
        <v>100.00665712478781</v>
      </c>
      <c r="AL6" s="5">
        <f aca="true" t="shared" si="15" ref="AL6:AL59">100*AB6*oxideK/$BA6</f>
        <v>0</v>
      </c>
      <c r="AM6" s="5">
        <f aca="true" t="shared" si="16" ref="AM6:AM59">100*AC6*oxideCa/$BA6</f>
        <v>0</v>
      </c>
      <c r="AN6" s="5">
        <f aca="true" t="shared" si="17" ref="AN6:AN59">100*AD6*oxideFe/$BA6</f>
        <v>0</v>
      </c>
      <c r="AO6" s="5">
        <f aca="true" t="shared" si="18" ref="AO6:AO59">100*AE6*oxideC/$BA6</f>
        <v>0</v>
      </c>
      <c r="AQ6" s="4">
        <f t="shared" si="0"/>
        <v>0</v>
      </c>
      <c r="AR6" s="4">
        <f t="shared" si="1"/>
        <v>32</v>
      </c>
      <c r="AS6" s="4">
        <f t="shared" si="2"/>
        <v>0</v>
      </c>
      <c r="AT6" s="4">
        <f t="shared" si="3"/>
        <v>0</v>
      </c>
      <c r="AU6" s="4">
        <f t="shared" si="4"/>
        <v>0</v>
      </c>
      <c r="AV6" s="4">
        <f t="shared" si="5"/>
        <v>28.086</v>
      </c>
      <c r="AW6" s="4">
        <f t="shared" si="6"/>
        <v>0</v>
      </c>
      <c r="AX6" s="4">
        <f t="shared" si="7"/>
        <v>0</v>
      </c>
      <c r="AY6" s="4">
        <f t="shared" si="8"/>
        <v>0</v>
      </c>
      <c r="AZ6" s="4">
        <f t="shared" si="9"/>
        <v>0</v>
      </c>
      <c r="BA6" s="4">
        <f aca="true" t="shared" si="19" ref="BA6:BA59">SUM(AQ6:AZ6)</f>
        <v>60.086</v>
      </c>
    </row>
    <row r="7" spans="1:53" ht="15.75">
      <c r="A7" s="21" t="s">
        <v>148</v>
      </c>
      <c r="B7" s="49">
        <v>60.085</v>
      </c>
      <c r="C7" s="96">
        <v>20.064</v>
      </c>
      <c r="D7" s="50">
        <v>2911</v>
      </c>
      <c r="E7" s="51">
        <v>0</v>
      </c>
      <c r="F7" s="52">
        <v>1.8E-05</v>
      </c>
      <c r="G7" s="52" t="s">
        <v>224</v>
      </c>
      <c r="H7" s="53">
        <v>97400000000</v>
      </c>
      <c r="I7" s="53" t="s">
        <v>228</v>
      </c>
      <c r="J7" s="49">
        <v>4.3</v>
      </c>
      <c r="K7" s="54" t="s">
        <v>228</v>
      </c>
      <c r="L7" s="53">
        <v>61600000000</v>
      </c>
      <c r="M7" s="53" t="s">
        <v>112</v>
      </c>
      <c r="N7" s="49">
        <f>T7</f>
        <v>4.66</v>
      </c>
      <c r="O7" s="49" t="s">
        <v>250</v>
      </c>
      <c r="P7" s="54">
        <f>(5*L7)/(3*H7)</f>
        <v>1.054072553045859</v>
      </c>
      <c r="Q7" s="54" t="s">
        <v>13</v>
      </c>
      <c r="R7" s="54">
        <v>0.36</v>
      </c>
      <c r="S7" s="49" t="s">
        <v>4</v>
      </c>
      <c r="T7" s="54">
        <f aca="true" t="shared" si="20" ref="T7:T12">R7+J7</f>
        <v>4.66</v>
      </c>
      <c r="U7" s="54" t="s">
        <v>252</v>
      </c>
      <c r="W7" s="4">
        <v>2</v>
      </c>
      <c r="AA7" s="4">
        <v>1</v>
      </c>
      <c r="AG7" s="5">
        <f t="shared" si="10"/>
        <v>0</v>
      </c>
      <c r="AH7" s="5">
        <f t="shared" si="11"/>
        <v>0</v>
      </c>
      <c r="AI7" s="5">
        <f t="shared" si="12"/>
        <v>0</v>
      </c>
      <c r="AJ7" s="5">
        <f t="shared" si="13"/>
        <v>0</v>
      </c>
      <c r="AK7" s="5">
        <f t="shared" si="14"/>
        <v>100.00665712478781</v>
      </c>
      <c r="AL7" s="5">
        <f t="shared" si="15"/>
        <v>0</v>
      </c>
      <c r="AM7" s="5">
        <f t="shared" si="16"/>
        <v>0</v>
      </c>
      <c r="AN7" s="5">
        <f t="shared" si="17"/>
        <v>0</v>
      </c>
      <c r="AO7" s="5">
        <f t="shared" si="18"/>
        <v>0</v>
      </c>
      <c r="AQ7" s="4">
        <f t="shared" si="0"/>
        <v>0</v>
      </c>
      <c r="AR7" s="4">
        <f t="shared" si="1"/>
        <v>32</v>
      </c>
      <c r="AS7" s="4">
        <f t="shared" si="2"/>
        <v>0</v>
      </c>
      <c r="AT7" s="4">
        <f t="shared" si="3"/>
        <v>0</v>
      </c>
      <c r="AU7" s="4">
        <f t="shared" si="4"/>
        <v>0</v>
      </c>
      <c r="AV7" s="4">
        <f t="shared" si="5"/>
        <v>28.086</v>
      </c>
      <c r="AW7" s="4">
        <f t="shared" si="6"/>
        <v>0</v>
      </c>
      <c r="AX7" s="4">
        <f t="shared" si="7"/>
        <v>0</v>
      </c>
      <c r="AY7" s="4">
        <f t="shared" si="8"/>
        <v>0</v>
      </c>
      <c r="AZ7" s="4">
        <f t="shared" si="9"/>
        <v>0</v>
      </c>
      <c r="BA7" s="4">
        <f t="shared" si="19"/>
        <v>60.086</v>
      </c>
    </row>
    <row r="8" spans="1:53" ht="15.75">
      <c r="A8" s="21" t="s">
        <v>278</v>
      </c>
      <c r="B8" s="49">
        <v>262.23</v>
      </c>
      <c r="C8" s="96">
        <v>101.09</v>
      </c>
      <c r="D8" s="50">
        <v>2620</v>
      </c>
      <c r="E8" s="51">
        <v>0</v>
      </c>
      <c r="F8" s="52">
        <v>4.56E-05</v>
      </c>
      <c r="G8" s="52" t="s">
        <v>224</v>
      </c>
      <c r="H8" s="67">
        <f>H9</f>
        <v>60060000000</v>
      </c>
      <c r="I8" s="67" t="s">
        <v>258</v>
      </c>
      <c r="J8" s="97">
        <v>4</v>
      </c>
      <c r="K8" s="67" t="s">
        <v>258</v>
      </c>
      <c r="L8" s="67">
        <f>L9</f>
        <v>36000000000</v>
      </c>
      <c r="M8" s="67" t="s">
        <v>258</v>
      </c>
      <c r="N8" s="96">
        <f>N9</f>
        <v>13</v>
      </c>
      <c r="O8" s="67" t="s">
        <v>258</v>
      </c>
      <c r="P8" s="54">
        <v>4.26</v>
      </c>
      <c r="Q8" s="54" t="s">
        <v>116</v>
      </c>
      <c r="R8" s="68">
        <v>0.61</v>
      </c>
      <c r="S8" s="49" t="s">
        <v>4</v>
      </c>
      <c r="T8" s="68">
        <f t="shared" si="20"/>
        <v>4.61</v>
      </c>
      <c r="U8" s="54" t="s">
        <v>252</v>
      </c>
      <c r="W8" s="4">
        <v>8</v>
      </c>
      <c r="X8" s="4">
        <v>1</v>
      </c>
      <c r="Z8" s="4">
        <v>1</v>
      </c>
      <c r="AA8" s="4">
        <v>3</v>
      </c>
      <c r="AG8" s="5">
        <f t="shared" si="10"/>
        <v>0</v>
      </c>
      <c r="AH8" s="5">
        <f t="shared" si="11"/>
        <v>11.817869808946345</v>
      </c>
      <c r="AI8" s="5">
        <f t="shared" si="12"/>
        <v>0</v>
      </c>
      <c r="AJ8" s="5">
        <f t="shared" si="13"/>
        <v>19.441711474659648</v>
      </c>
      <c r="AK8" s="5">
        <f t="shared" si="14"/>
        <v>68.74499485184761</v>
      </c>
      <c r="AL8" s="5">
        <f t="shared" si="15"/>
        <v>0</v>
      </c>
      <c r="AM8" s="5">
        <f t="shared" si="16"/>
        <v>0</v>
      </c>
      <c r="AN8" s="5">
        <f t="shared" si="17"/>
        <v>0</v>
      </c>
      <c r="AO8" s="5">
        <f t="shared" si="18"/>
        <v>0</v>
      </c>
      <c r="AQ8" s="4">
        <f t="shared" si="0"/>
        <v>0</v>
      </c>
      <c r="AR8" s="4">
        <f t="shared" si="1"/>
        <v>128</v>
      </c>
      <c r="AS8" s="4">
        <f t="shared" si="2"/>
        <v>22.99</v>
      </c>
      <c r="AT8" s="4">
        <f t="shared" si="3"/>
        <v>0</v>
      </c>
      <c r="AU8" s="4">
        <f t="shared" si="4"/>
        <v>26.982</v>
      </c>
      <c r="AV8" s="4">
        <f t="shared" si="5"/>
        <v>84.258</v>
      </c>
      <c r="AW8" s="4">
        <f t="shared" si="6"/>
        <v>0</v>
      </c>
      <c r="AX8" s="4">
        <f t="shared" si="7"/>
        <v>0</v>
      </c>
      <c r="AY8" s="4">
        <f t="shared" si="8"/>
        <v>0</v>
      </c>
      <c r="AZ8" s="4">
        <f t="shared" si="9"/>
        <v>0</v>
      </c>
      <c r="BA8" s="4">
        <f t="shared" si="19"/>
        <v>262.23</v>
      </c>
    </row>
    <row r="9" spans="1:53" ht="15.75">
      <c r="A9" s="21" t="s">
        <v>279</v>
      </c>
      <c r="B9" s="49">
        <v>262.23</v>
      </c>
      <c r="C9" s="96">
        <v>100.06</v>
      </c>
      <c r="D9" s="50">
        <v>2620</v>
      </c>
      <c r="E9" s="51">
        <v>0</v>
      </c>
      <c r="F9" s="52">
        <v>4.56E-05</v>
      </c>
      <c r="G9" s="52" t="s">
        <v>224</v>
      </c>
      <c r="H9" s="67">
        <v>60060000000</v>
      </c>
      <c r="I9" s="67" t="s">
        <v>505</v>
      </c>
      <c r="J9" s="97">
        <v>4</v>
      </c>
      <c r="K9" s="67" t="s">
        <v>310</v>
      </c>
      <c r="L9" s="67">
        <v>36000000000</v>
      </c>
      <c r="M9" s="67" t="s">
        <v>505</v>
      </c>
      <c r="N9" s="96">
        <v>13</v>
      </c>
      <c r="O9" s="96" t="s">
        <v>249</v>
      </c>
      <c r="P9" s="54">
        <f>P8</f>
        <v>4.26</v>
      </c>
      <c r="Q9" s="70" t="s">
        <v>116</v>
      </c>
      <c r="R9" s="68">
        <v>0.6</v>
      </c>
      <c r="S9" s="49" t="s">
        <v>4</v>
      </c>
      <c r="T9" s="68">
        <f t="shared" si="20"/>
        <v>4.6</v>
      </c>
      <c r="U9" s="54" t="s">
        <v>252</v>
      </c>
      <c r="W9" s="4">
        <v>8</v>
      </c>
      <c r="X9" s="4">
        <v>1</v>
      </c>
      <c r="Z9" s="4">
        <v>1</v>
      </c>
      <c r="AA9" s="4">
        <v>3</v>
      </c>
      <c r="AG9" s="5">
        <f t="shared" si="10"/>
        <v>0</v>
      </c>
      <c r="AH9" s="5">
        <f t="shared" si="11"/>
        <v>11.817869808946345</v>
      </c>
      <c r="AI9" s="5">
        <f t="shared" si="12"/>
        <v>0</v>
      </c>
      <c r="AJ9" s="5">
        <f t="shared" si="13"/>
        <v>19.441711474659648</v>
      </c>
      <c r="AK9" s="5">
        <f t="shared" si="14"/>
        <v>68.74499485184761</v>
      </c>
      <c r="AL9" s="5">
        <f t="shared" si="15"/>
        <v>0</v>
      </c>
      <c r="AM9" s="5">
        <f t="shared" si="16"/>
        <v>0</v>
      </c>
      <c r="AN9" s="5">
        <f t="shared" si="17"/>
        <v>0</v>
      </c>
      <c r="AO9" s="5">
        <f t="shared" si="18"/>
        <v>0</v>
      </c>
      <c r="AQ9" s="4">
        <f t="shared" si="0"/>
        <v>0</v>
      </c>
      <c r="AR9" s="4">
        <f t="shared" si="1"/>
        <v>128</v>
      </c>
      <c r="AS9" s="4">
        <f t="shared" si="2"/>
        <v>22.99</v>
      </c>
      <c r="AT9" s="4">
        <f t="shared" si="3"/>
        <v>0</v>
      </c>
      <c r="AU9" s="4">
        <f t="shared" si="4"/>
        <v>26.982</v>
      </c>
      <c r="AV9" s="4">
        <f t="shared" si="5"/>
        <v>84.258</v>
      </c>
      <c r="AW9" s="4">
        <f t="shared" si="6"/>
        <v>0</v>
      </c>
      <c r="AX9" s="4">
        <f t="shared" si="7"/>
        <v>0</v>
      </c>
      <c r="AY9" s="4">
        <f t="shared" si="8"/>
        <v>0</v>
      </c>
      <c r="AZ9" s="4">
        <f t="shared" si="9"/>
        <v>0</v>
      </c>
      <c r="BA9" s="4">
        <f t="shared" si="19"/>
        <v>262.23</v>
      </c>
    </row>
    <row r="10" spans="1:53" ht="15.75">
      <c r="A10" s="21" t="s">
        <v>158</v>
      </c>
      <c r="B10" s="49">
        <v>278.169</v>
      </c>
      <c r="C10" s="96">
        <v>100.8</v>
      </c>
      <c r="D10" s="50">
        <v>2760</v>
      </c>
      <c r="E10" s="51">
        <v>0</v>
      </c>
      <c r="F10" s="52">
        <v>2.38E-05</v>
      </c>
      <c r="G10" s="52" t="s">
        <v>224</v>
      </c>
      <c r="H10" s="67">
        <f>57760000000+241000000*100</f>
        <v>81860000000</v>
      </c>
      <c r="I10" s="67" t="s">
        <v>310</v>
      </c>
      <c r="J10" s="97">
        <v>4</v>
      </c>
      <c r="K10" s="67" t="s">
        <v>310</v>
      </c>
      <c r="L10" s="67">
        <v>36048440366.97247</v>
      </c>
      <c r="M10" s="67" t="s">
        <v>111</v>
      </c>
      <c r="N10" s="96">
        <v>6.8</v>
      </c>
      <c r="O10" s="96" t="s">
        <v>249</v>
      </c>
      <c r="P10" s="54">
        <v>3.48</v>
      </c>
      <c r="Q10" s="54" t="s">
        <v>116</v>
      </c>
      <c r="R10" s="68">
        <v>0.48</v>
      </c>
      <c r="S10" s="49" t="s">
        <v>4</v>
      </c>
      <c r="T10" s="68">
        <f t="shared" si="20"/>
        <v>4.48</v>
      </c>
      <c r="U10" s="54" t="s">
        <v>252</v>
      </c>
      <c r="W10" s="4">
        <v>8</v>
      </c>
      <c r="Z10" s="4">
        <v>2</v>
      </c>
      <c r="AA10" s="4">
        <v>2</v>
      </c>
      <c r="AC10" s="4">
        <v>1</v>
      </c>
      <c r="AG10" s="5">
        <f t="shared" si="10"/>
        <v>0</v>
      </c>
      <c r="AH10" s="5">
        <f t="shared" si="11"/>
        <v>0</v>
      </c>
      <c r="AI10" s="5">
        <f t="shared" si="12"/>
        <v>0</v>
      </c>
      <c r="AJ10" s="5">
        <f t="shared" si="13"/>
        <v>36.64922218707766</v>
      </c>
      <c r="AK10" s="5">
        <f t="shared" si="14"/>
        <v>43.196652960289846</v>
      </c>
      <c r="AL10" s="5">
        <f t="shared" si="15"/>
        <v>0</v>
      </c>
      <c r="AM10" s="5">
        <f t="shared" si="16"/>
        <v>20.157000316301</v>
      </c>
      <c r="AN10" s="5">
        <f t="shared" si="17"/>
        <v>0</v>
      </c>
      <c r="AO10" s="5">
        <f t="shared" si="18"/>
        <v>0</v>
      </c>
      <c r="AQ10" s="4">
        <f t="shared" si="0"/>
        <v>0</v>
      </c>
      <c r="AR10" s="4">
        <f t="shared" si="1"/>
        <v>128</v>
      </c>
      <c r="AS10" s="4">
        <f t="shared" si="2"/>
        <v>0</v>
      </c>
      <c r="AT10" s="4">
        <f t="shared" si="3"/>
        <v>0</v>
      </c>
      <c r="AU10" s="4">
        <f t="shared" si="4"/>
        <v>53.964</v>
      </c>
      <c r="AV10" s="4">
        <f t="shared" si="5"/>
        <v>56.172</v>
      </c>
      <c r="AW10" s="4">
        <f t="shared" si="6"/>
        <v>0</v>
      </c>
      <c r="AX10" s="4">
        <f t="shared" si="7"/>
        <v>40.08</v>
      </c>
      <c r="AY10" s="4">
        <f t="shared" si="8"/>
        <v>0</v>
      </c>
      <c r="AZ10" s="4">
        <f t="shared" si="9"/>
        <v>0</v>
      </c>
      <c r="BA10" s="4">
        <f t="shared" si="19"/>
        <v>278.216</v>
      </c>
    </row>
    <row r="11" spans="1:53" ht="15.75">
      <c r="A11" s="21" t="s">
        <v>275</v>
      </c>
      <c r="B11" s="49">
        <v>278.33</v>
      </c>
      <c r="C11" s="96">
        <v>108.9</v>
      </c>
      <c r="D11" s="50">
        <v>2555</v>
      </c>
      <c r="E11" s="51">
        <v>0</v>
      </c>
      <c r="F11" s="52">
        <v>3.35E-05</v>
      </c>
      <c r="G11" s="52" t="s">
        <v>224</v>
      </c>
      <c r="H11" s="53">
        <f>58300000000</f>
        <v>58300000000</v>
      </c>
      <c r="I11" s="53" t="s">
        <v>239</v>
      </c>
      <c r="J11" s="50">
        <v>4</v>
      </c>
      <c r="K11" s="54" t="s">
        <v>239</v>
      </c>
      <c r="L11" s="53">
        <v>28100000000</v>
      </c>
      <c r="M11" s="53" t="s">
        <v>112</v>
      </c>
      <c r="N11" s="96">
        <f>T11</f>
        <v>4.46</v>
      </c>
      <c r="O11" s="49" t="s">
        <v>250</v>
      </c>
      <c r="P11" s="54">
        <f>(5*L11)/(3*H11)</f>
        <v>0.8033161806746713</v>
      </c>
      <c r="Q11" s="54" t="s">
        <v>13</v>
      </c>
      <c r="R11" s="68">
        <v>0.46</v>
      </c>
      <c r="S11" s="49" t="s">
        <v>4</v>
      </c>
      <c r="T11" s="68">
        <f t="shared" si="20"/>
        <v>4.46</v>
      </c>
      <c r="U11" s="54" t="s">
        <v>252</v>
      </c>
      <c r="W11" s="4">
        <v>8</v>
      </c>
      <c r="Z11" s="4">
        <v>1</v>
      </c>
      <c r="AA11" s="4">
        <v>3</v>
      </c>
      <c r="AB11" s="4">
        <v>1</v>
      </c>
      <c r="AG11" s="5">
        <f t="shared" si="10"/>
        <v>0</v>
      </c>
      <c r="AH11" s="5">
        <f t="shared" si="11"/>
        <v>0</v>
      </c>
      <c r="AI11" s="5">
        <f t="shared" si="12"/>
        <v>0</v>
      </c>
      <c r="AJ11" s="5">
        <f t="shared" si="13"/>
        <v>18.316315899145657</v>
      </c>
      <c r="AK11" s="5">
        <f t="shared" si="14"/>
        <v>64.76564801575041</v>
      </c>
      <c r="AL11" s="5">
        <f t="shared" si="15"/>
        <v>16.92234732810715</v>
      </c>
      <c r="AM11" s="5">
        <f t="shared" si="16"/>
        <v>0</v>
      </c>
      <c r="AN11" s="5">
        <f t="shared" si="17"/>
        <v>0</v>
      </c>
      <c r="AO11" s="5">
        <f t="shared" si="18"/>
        <v>0</v>
      </c>
      <c r="AQ11" s="4">
        <f t="shared" si="0"/>
        <v>0</v>
      </c>
      <c r="AR11" s="4">
        <f t="shared" si="1"/>
        <v>128</v>
      </c>
      <c r="AS11" s="4">
        <f t="shared" si="2"/>
        <v>0</v>
      </c>
      <c r="AT11" s="4">
        <f t="shared" si="3"/>
        <v>0</v>
      </c>
      <c r="AU11" s="4">
        <f t="shared" si="4"/>
        <v>26.982</v>
      </c>
      <c r="AV11" s="4">
        <f t="shared" si="5"/>
        <v>84.258</v>
      </c>
      <c r="AW11" s="4">
        <f t="shared" si="6"/>
        <v>39.102</v>
      </c>
      <c r="AX11" s="4">
        <f t="shared" si="7"/>
        <v>0</v>
      </c>
      <c r="AY11" s="4">
        <f t="shared" si="8"/>
        <v>0</v>
      </c>
      <c r="AZ11" s="4">
        <f t="shared" si="9"/>
        <v>0</v>
      </c>
      <c r="BA11" s="4">
        <f t="shared" si="19"/>
        <v>278.342</v>
      </c>
    </row>
    <row r="12" spans="1:53" ht="15.75">
      <c r="A12" s="21" t="s">
        <v>281</v>
      </c>
      <c r="B12" s="49">
        <v>278.33</v>
      </c>
      <c r="C12" s="96">
        <v>109</v>
      </c>
      <c r="D12" s="50">
        <v>2553</v>
      </c>
      <c r="E12" s="51">
        <v>0</v>
      </c>
      <c r="F12" s="52">
        <v>3.35E-05</v>
      </c>
      <c r="G12" s="52" t="s">
        <v>224</v>
      </c>
      <c r="H12" s="53">
        <v>67000000000</v>
      </c>
      <c r="I12" s="53" t="s">
        <v>240</v>
      </c>
      <c r="J12" s="50">
        <v>4</v>
      </c>
      <c r="K12" s="54" t="s">
        <v>240</v>
      </c>
      <c r="L12" s="53">
        <f>L11*H12/H11</f>
        <v>32293310463.121788</v>
      </c>
      <c r="M12" s="53" t="s">
        <v>247</v>
      </c>
      <c r="N12" s="96">
        <f>T12</f>
        <v>4.46</v>
      </c>
      <c r="O12" s="49" t="s">
        <v>250</v>
      </c>
      <c r="P12" s="54">
        <f>(5*L12)/(3*H12)</f>
        <v>0.8033161806746714</v>
      </c>
      <c r="Q12" s="54" t="s">
        <v>13</v>
      </c>
      <c r="R12" s="68">
        <v>0.46</v>
      </c>
      <c r="S12" s="49" t="s">
        <v>4</v>
      </c>
      <c r="T12" s="68">
        <f t="shared" si="20"/>
        <v>4.46</v>
      </c>
      <c r="U12" s="54" t="s">
        <v>252</v>
      </c>
      <c r="W12" s="4">
        <v>8</v>
      </c>
      <c r="Z12" s="4">
        <v>1</v>
      </c>
      <c r="AA12" s="4">
        <v>3</v>
      </c>
      <c r="AB12" s="4">
        <v>1</v>
      </c>
      <c r="AG12" s="5">
        <f t="shared" si="10"/>
        <v>0</v>
      </c>
      <c r="AH12" s="5">
        <f t="shared" si="11"/>
        <v>0</v>
      </c>
      <c r="AI12" s="5">
        <f t="shared" si="12"/>
        <v>0</v>
      </c>
      <c r="AJ12" s="5">
        <f t="shared" si="13"/>
        <v>18.316315899145657</v>
      </c>
      <c r="AK12" s="5">
        <f t="shared" si="14"/>
        <v>64.76564801575041</v>
      </c>
      <c r="AL12" s="5">
        <f t="shared" si="15"/>
        <v>16.92234732810715</v>
      </c>
      <c r="AM12" s="5">
        <f t="shared" si="16"/>
        <v>0</v>
      </c>
      <c r="AN12" s="5">
        <f t="shared" si="17"/>
        <v>0</v>
      </c>
      <c r="AO12" s="5">
        <f t="shared" si="18"/>
        <v>0</v>
      </c>
      <c r="AQ12" s="4">
        <f t="shared" si="0"/>
        <v>0</v>
      </c>
      <c r="AR12" s="4">
        <f t="shared" si="1"/>
        <v>128</v>
      </c>
      <c r="AS12" s="4">
        <f t="shared" si="2"/>
        <v>0</v>
      </c>
      <c r="AT12" s="4">
        <f t="shared" si="3"/>
        <v>0</v>
      </c>
      <c r="AU12" s="4">
        <f t="shared" si="4"/>
        <v>26.982</v>
      </c>
      <c r="AV12" s="4">
        <f t="shared" si="5"/>
        <v>84.258</v>
      </c>
      <c r="AW12" s="4">
        <f t="shared" si="6"/>
        <v>39.102</v>
      </c>
      <c r="AX12" s="4">
        <f t="shared" si="7"/>
        <v>0</v>
      </c>
      <c r="AY12" s="4">
        <f t="shared" si="8"/>
        <v>0</v>
      </c>
      <c r="AZ12" s="4">
        <f t="shared" si="9"/>
        <v>0</v>
      </c>
      <c r="BA12" s="4">
        <f t="shared" si="19"/>
        <v>278.342</v>
      </c>
    </row>
    <row r="13" spans="1:53" ht="15.75">
      <c r="A13" s="21" t="s">
        <v>159</v>
      </c>
      <c r="B13" s="49">
        <v>497.7</v>
      </c>
      <c r="C13" s="96">
        <v>115.1</v>
      </c>
      <c r="D13" s="50">
        <v>4324</v>
      </c>
      <c r="E13" s="51">
        <v>0</v>
      </c>
      <c r="F13" s="52">
        <v>4.03E-05</v>
      </c>
      <c r="G13" s="52" t="s">
        <v>224</v>
      </c>
      <c r="H13" s="67">
        <v>170262039710.42722</v>
      </c>
      <c r="I13" s="67" t="s">
        <v>394</v>
      </c>
      <c r="J13" s="96">
        <v>4.9</v>
      </c>
      <c r="K13" s="67" t="s">
        <v>394</v>
      </c>
      <c r="L13" s="67">
        <v>96000000000</v>
      </c>
      <c r="M13" s="67" t="s">
        <v>394</v>
      </c>
      <c r="N13" s="49">
        <f>T13</f>
        <v>5.517</v>
      </c>
      <c r="O13" s="49" t="s">
        <v>250</v>
      </c>
      <c r="P13" s="68">
        <v>1.4</v>
      </c>
      <c r="Q13" s="67" t="s">
        <v>394</v>
      </c>
      <c r="R13" s="54">
        <v>1.07</v>
      </c>
      <c r="S13" s="49" t="s">
        <v>4</v>
      </c>
      <c r="T13" s="54">
        <v>5.517</v>
      </c>
      <c r="U13" s="54" t="s">
        <v>116</v>
      </c>
      <c r="W13" s="4">
        <v>12</v>
      </c>
      <c r="Z13" s="4">
        <v>2</v>
      </c>
      <c r="AA13" s="4">
        <v>3</v>
      </c>
      <c r="AD13" s="4">
        <v>3</v>
      </c>
      <c r="AG13" s="5">
        <f t="shared" si="10"/>
        <v>0</v>
      </c>
      <c r="AH13" s="5">
        <f t="shared" si="11"/>
        <v>0</v>
      </c>
      <c r="AI13" s="5">
        <f t="shared" si="12"/>
        <v>0</v>
      </c>
      <c r="AJ13" s="5">
        <f t="shared" si="13"/>
        <v>20.484447417747</v>
      </c>
      <c r="AK13" s="5">
        <f t="shared" si="14"/>
        <v>36.21603052054894</v>
      </c>
      <c r="AL13" s="5">
        <f t="shared" si="15"/>
        <v>0</v>
      </c>
      <c r="AM13" s="5">
        <f t="shared" si="16"/>
        <v>0</v>
      </c>
      <c r="AN13" s="5">
        <f t="shared" si="17"/>
        <v>43.303740936951925</v>
      </c>
      <c r="AO13" s="5">
        <f t="shared" si="18"/>
        <v>0</v>
      </c>
      <c r="AQ13" s="4">
        <f t="shared" si="0"/>
        <v>0</v>
      </c>
      <c r="AR13" s="4">
        <f t="shared" si="1"/>
        <v>192</v>
      </c>
      <c r="AS13" s="4">
        <f t="shared" si="2"/>
        <v>0</v>
      </c>
      <c r="AT13" s="4">
        <f t="shared" si="3"/>
        <v>0</v>
      </c>
      <c r="AU13" s="4">
        <f t="shared" si="4"/>
        <v>53.964</v>
      </c>
      <c r="AV13" s="4">
        <f t="shared" si="5"/>
        <v>84.258</v>
      </c>
      <c r="AW13" s="4">
        <f t="shared" si="6"/>
        <v>0</v>
      </c>
      <c r="AX13" s="4">
        <f t="shared" si="7"/>
        <v>0</v>
      </c>
      <c r="AY13" s="4">
        <f t="shared" si="8"/>
        <v>167.541</v>
      </c>
      <c r="AZ13" s="4">
        <f t="shared" si="9"/>
        <v>0</v>
      </c>
      <c r="BA13" s="4">
        <f t="shared" si="19"/>
        <v>497.763</v>
      </c>
    </row>
    <row r="14" spans="1:53" ht="15.75">
      <c r="A14" s="21" t="s">
        <v>331</v>
      </c>
      <c r="B14" s="49">
        <v>450.4</v>
      </c>
      <c r="C14" s="96">
        <v>125.4</v>
      </c>
      <c r="D14" s="50">
        <v>3593</v>
      </c>
      <c r="E14" s="51">
        <v>0</v>
      </c>
      <c r="F14" s="52">
        <v>3.93E-05</v>
      </c>
      <c r="G14" s="52" t="s">
        <v>224</v>
      </c>
      <c r="H14" s="67">
        <v>163880853648.813</v>
      </c>
      <c r="I14" s="67" t="s">
        <v>394</v>
      </c>
      <c r="J14" s="96">
        <v>3.9</v>
      </c>
      <c r="K14" s="67" t="s">
        <v>394</v>
      </c>
      <c r="L14" s="67">
        <v>109000000000</v>
      </c>
      <c r="M14" s="67" t="s">
        <v>394</v>
      </c>
      <c r="N14" s="49">
        <v>5.11</v>
      </c>
      <c r="O14" s="49" t="s">
        <v>249</v>
      </c>
      <c r="P14" s="68">
        <v>1.1</v>
      </c>
      <c r="Q14" s="67" t="s">
        <v>394</v>
      </c>
      <c r="R14" s="54">
        <v>1.19</v>
      </c>
      <c r="S14" s="49" t="s">
        <v>236</v>
      </c>
      <c r="T14" s="54">
        <v>4.57</v>
      </c>
      <c r="U14" s="54" t="s">
        <v>236</v>
      </c>
      <c r="W14" s="4">
        <v>12</v>
      </c>
      <c r="Z14" s="4">
        <v>2</v>
      </c>
      <c r="AA14" s="4">
        <v>3</v>
      </c>
      <c r="AC14" s="4">
        <v>3</v>
      </c>
      <c r="AG14" s="5">
        <f t="shared" si="10"/>
        <v>0</v>
      </c>
      <c r="AH14" s="5">
        <f t="shared" si="11"/>
        <v>0</v>
      </c>
      <c r="AI14" s="5">
        <f t="shared" si="12"/>
        <v>0</v>
      </c>
      <c r="AJ14" s="5">
        <f t="shared" si="13"/>
        <v>22.63542762763563</v>
      </c>
      <c r="AK14" s="5">
        <f t="shared" si="14"/>
        <v>40.01891391504722</v>
      </c>
      <c r="AL14" s="5">
        <f t="shared" si="15"/>
        <v>0</v>
      </c>
      <c r="AM14" s="5">
        <f t="shared" si="16"/>
        <v>37.348322389013944</v>
      </c>
      <c r="AN14" s="5">
        <f t="shared" si="17"/>
        <v>0</v>
      </c>
      <c r="AO14" s="5">
        <f t="shared" si="18"/>
        <v>0</v>
      </c>
      <c r="AQ14" s="4">
        <f t="shared" si="0"/>
        <v>0</v>
      </c>
      <c r="AR14" s="4">
        <f t="shared" si="1"/>
        <v>192</v>
      </c>
      <c r="AS14" s="4">
        <f t="shared" si="2"/>
        <v>0</v>
      </c>
      <c r="AT14" s="4">
        <f t="shared" si="3"/>
        <v>0</v>
      </c>
      <c r="AU14" s="4">
        <f t="shared" si="4"/>
        <v>53.964</v>
      </c>
      <c r="AV14" s="4">
        <f t="shared" si="5"/>
        <v>84.258</v>
      </c>
      <c r="AW14" s="4">
        <f t="shared" si="6"/>
        <v>0</v>
      </c>
      <c r="AX14" s="4">
        <f t="shared" si="7"/>
        <v>120.24</v>
      </c>
      <c r="AY14" s="4">
        <f t="shared" si="8"/>
        <v>0</v>
      </c>
      <c r="AZ14" s="4">
        <f t="shared" si="9"/>
        <v>0</v>
      </c>
      <c r="BA14" s="4">
        <f t="shared" si="19"/>
        <v>450.462</v>
      </c>
    </row>
    <row r="15" spans="1:53" ht="15.75">
      <c r="A15" s="21" t="s">
        <v>164</v>
      </c>
      <c r="B15" s="49">
        <v>403.09</v>
      </c>
      <c r="C15" s="96">
        <v>113.2</v>
      </c>
      <c r="D15" s="50">
        <v>3565</v>
      </c>
      <c r="E15" s="51">
        <v>0</v>
      </c>
      <c r="F15" s="52">
        <v>4.36E-05</v>
      </c>
      <c r="G15" s="52" t="s">
        <v>224</v>
      </c>
      <c r="H15" s="67">
        <v>167293557276.333</v>
      </c>
      <c r="I15" s="67" t="s">
        <v>394</v>
      </c>
      <c r="J15" s="96">
        <v>4.1</v>
      </c>
      <c r="K15" s="67" t="s">
        <v>394</v>
      </c>
      <c r="L15" s="67">
        <v>94000000000</v>
      </c>
      <c r="M15" s="67" t="s">
        <v>394</v>
      </c>
      <c r="N15" s="49">
        <v>4.06</v>
      </c>
      <c r="O15" s="49" t="s">
        <v>249</v>
      </c>
      <c r="P15" s="68">
        <v>1.3</v>
      </c>
      <c r="Q15" s="67" t="s">
        <v>394</v>
      </c>
      <c r="R15" s="54">
        <v>1.25</v>
      </c>
      <c r="S15" s="49" t="s">
        <v>236</v>
      </c>
      <c r="T15" s="54">
        <v>5.3</v>
      </c>
      <c r="U15" s="54" t="s">
        <v>236</v>
      </c>
      <c r="W15" s="4">
        <v>12</v>
      </c>
      <c r="Y15" s="4">
        <v>3</v>
      </c>
      <c r="Z15" s="4">
        <v>2</v>
      </c>
      <c r="AA15" s="4">
        <v>3</v>
      </c>
      <c r="AG15" s="5">
        <f t="shared" si="10"/>
        <v>0</v>
      </c>
      <c r="AH15" s="5">
        <f t="shared" si="11"/>
        <v>0</v>
      </c>
      <c r="AI15" s="5">
        <f t="shared" si="12"/>
        <v>29.997172324498084</v>
      </c>
      <c r="AJ15" s="5">
        <f t="shared" si="13"/>
        <v>25.291324989210185</v>
      </c>
      <c r="AK15" s="5">
        <f t="shared" si="14"/>
        <v>44.71447918682006</v>
      </c>
      <c r="AL15" s="5">
        <f t="shared" si="15"/>
        <v>0</v>
      </c>
      <c r="AM15" s="5">
        <f t="shared" si="16"/>
        <v>0</v>
      </c>
      <c r="AN15" s="5">
        <f t="shared" si="17"/>
        <v>0</v>
      </c>
      <c r="AO15" s="5">
        <f t="shared" si="18"/>
        <v>0</v>
      </c>
      <c r="AQ15" s="4">
        <f t="shared" si="0"/>
        <v>0</v>
      </c>
      <c r="AR15" s="4">
        <f t="shared" si="1"/>
        <v>192</v>
      </c>
      <c r="AS15" s="4">
        <f t="shared" si="2"/>
        <v>0</v>
      </c>
      <c r="AT15" s="4">
        <f t="shared" si="3"/>
        <v>72.936</v>
      </c>
      <c r="AU15" s="4">
        <f t="shared" si="4"/>
        <v>53.964</v>
      </c>
      <c r="AV15" s="4">
        <f t="shared" si="5"/>
        <v>84.258</v>
      </c>
      <c r="AW15" s="4">
        <f t="shared" si="6"/>
        <v>0</v>
      </c>
      <c r="AX15" s="4">
        <f t="shared" si="7"/>
        <v>0</v>
      </c>
      <c r="AY15" s="4">
        <f t="shared" si="8"/>
        <v>0</v>
      </c>
      <c r="AZ15" s="4">
        <f t="shared" si="9"/>
        <v>0</v>
      </c>
      <c r="BA15" s="4">
        <f t="shared" si="19"/>
        <v>403.158</v>
      </c>
    </row>
    <row r="16" spans="1:53" ht="15.75">
      <c r="A16" s="21" t="s">
        <v>162</v>
      </c>
      <c r="B16" s="49">
        <v>140.7</v>
      </c>
      <c r="C16" s="96">
        <v>43.7</v>
      </c>
      <c r="D16" s="50">
        <v>3222</v>
      </c>
      <c r="E16" s="51">
        <v>0</v>
      </c>
      <c r="F16" s="52">
        <v>6.13E-05</v>
      </c>
      <c r="G16" s="52" t="s">
        <v>224</v>
      </c>
      <c r="H16" s="53">
        <v>127300000000</v>
      </c>
      <c r="I16" s="67" t="s">
        <v>650</v>
      </c>
      <c r="J16" s="96">
        <v>4.2</v>
      </c>
      <c r="K16" s="68" t="s">
        <v>483</v>
      </c>
      <c r="L16" s="53">
        <v>81600000000</v>
      </c>
      <c r="M16" s="67" t="s">
        <v>650</v>
      </c>
      <c r="N16" s="49">
        <v>5.19</v>
      </c>
      <c r="O16" s="49" t="s">
        <v>249</v>
      </c>
      <c r="P16" s="68">
        <v>1.6</v>
      </c>
      <c r="Q16" s="68" t="s">
        <v>483</v>
      </c>
      <c r="R16" s="54">
        <v>1.29</v>
      </c>
      <c r="S16" s="49" t="s">
        <v>236</v>
      </c>
      <c r="T16" s="54">
        <v>5.5</v>
      </c>
      <c r="U16" s="54" t="s">
        <v>236</v>
      </c>
      <c r="W16" s="4">
        <v>4</v>
      </c>
      <c r="Y16" s="4">
        <v>2</v>
      </c>
      <c r="AA16" s="4">
        <v>1</v>
      </c>
      <c r="AG16" s="5">
        <f t="shared" si="10"/>
        <v>0</v>
      </c>
      <c r="AH16" s="5">
        <f t="shared" si="11"/>
        <v>0</v>
      </c>
      <c r="AI16" s="5">
        <f t="shared" si="12"/>
        <v>57.297988771231616</v>
      </c>
      <c r="AJ16" s="5">
        <f t="shared" si="13"/>
        <v>0</v>
      </c>
      <c r="AK16" s="5">
        <f t="shared" si="14"/>
        <v>42.7048539549428</v>
      </c>
      <c r="AL16" s="5">
        <f t="shared" si="15"/>
        <v>0</v>
      </c>
      <c r="AM16" s="5">
        <f t="shared" si="16"/>
        <v>0</v>
      </c>
      <c r="AN16" s="5">
        <f t="shared" si="17"/>
        <v>0</v>
      </c>
      <c r="AO16" s="5">
        <f t="shared" si="18"/>
        <v>0</v>
      </c>
      <c r="AQ16" s="4">
        <f t="shared" si="0"/>
        <v>0</v>
      </c>
      <c r="AR16" s="4">
        <f t="shared" si="1"/>
        <v>64</v>
      </c>
      <c r="AS16" s="4">
        <f t="shared" si="2"/>
        <v>0</v>
      </c>
      <c r="AT16" s="4">
        <f t="shared" si="3"/>
        <v>48.624</v>
      </c>
      <c r="AU16" s="4">
        <f t="shared" si="4"/>
        <v>0</v>
      </c>
      <c r="AV16" s="4">
        <f t="shared" si="5"/>
        <v>28.086</v>
      </c>
      <c r="AW16" s="4">
        <f t="shared" si="6"/>
        <v>0</v>
      </c>
      <c r="AX16" s="4">
        <f t="shared" si="7"/>
        <v>0</v>
      </c>
      <c r="AY16" s="4">
        <f t="shared" si="8"/>
        <v>0</v>
      </c>
      <c r="AZ16" s="4">
        <f t="shared" si="9"/>
        <v>0</v>
      </c>
      <c r="BA16" s="4">
        <f t="shared" si="19"/>
        <v>140.70999999999998</v>
      </c>
    </row>
    <row r="17" spans="1:53" ht="15.75">
      <c r="A17" s="21" t="s">
        <v>168</v>
      </c>
      <c r="B17" s="49">
        <v>203.77</v>
      </c>
      <c r="C17" s="96">
        <v>46.3</v>
      </c>
      <c r="D17" s="50">
        <v>4400</v>
      </c>
      <c r="E17" s="51">
        <v>0</v>
      </c>
      <c r="F17" s="52">
        <v>5.05E-05</v>
      </c>
      <c r="G17" s="52" t="s">
        <v>224</v>
      </c>
      <c r="H17" s="67">
        <v>136260000000</v>
      </c>
      <c r="I17" s="67" t="s">
        <v>483</v>
      </c>
      <c r="J17" s="68">
        <v>4.88</v>
      </c>
      <c r="K17" s="68" t="s">
        <v>483</v>
      </c>
      <c r="L17" s="67">
        <v>51220000000</v>
      </c>
      <c r="M17" s="68" t="s">
        <v>483</v>
      </c>
      <c r="N17" s="49">
        <v>4.69</v>
      </c>
      <c r="O17" s="49" t="s">
        <v>249</v>
      </c>
      <c r="P17" s="68">
        <v>1.71</v>
      </c>
      <c r="Q17" s="68" t="s">
        <v>652</v>
      </c>
      <c r="R17" s="54">
        <v>1.21</v>
      </c>
      <c r="S17" s="49" t="s">
        <v>236</v>
      </c>
      <c r="T17" s="54">
        <v>5.4</v>
      </c>
      <c r="U17" s="54" t="s">
        <v>236</v>
      </c>
      <c r="W17" s="4">
        <v>4</v>
      </c>
      <c r="AA17" s="4">
        <v>1</v>
      </c>
      <c r="AD17" s="4">
        <v>2</v>
      </c>
      <c r="AG17" s="5">
        <f t="shared" si="10"/>
        <v>0</v>
      </c>
      <c r="AH17" s="5">
        <f t="shared" si="11"/>
        <v>0</v>
      </c>
      <c r="AI17" s="5">
        <f t="shared" si="12"/>
        <v>0</v>
      </c>
      <c r="AJ17" s="5">
        <f t="shared" si="13"/>
        <v>0</v>
      </c>
      <c r="AK17" s="5">
        <f t="shared" si="14"/>
        <v>29.487682795171263</v>
      </c>
      <c r="AL17" s="5">
        <f t="shared" si="15"/>
        <v>0</v>
      </c>
      <c r="AM17" s="5">
        <f t="shared" si="16"/>
        <v>0</v>
      </c>
      <c r="AN17" s="5">
        <f t="shared" si="17"/>
        <v>70.51722445774854</v>
      </c>
      <c r="AO17" s="5">
        <f t="shared" si="18"/>
        <v>0</v>
      </c>
      <c r="AQ17" s="4">
        <f t="shared" si="0"/>
        <v>0</v>
      </c>
      <c r="AR17" s="4">
        <f t="shared" si="1"/>
        <v>64</v>
      </c>
      <c r="AS17" s="4">
        <f t="shared" si="2"/>
        <v>0</v>
      </c>
      <c r="AT17" s="4">
        <f t="shared" si="3"/>
        <v>0</v>
      </c>
      <c r="AU17" s="4">
        <f t="shared" si="4"/>
        <v>0</v>
      </c>
      <c r="AV17" s="4">
        <f t="shared" si="5"/>
        <v>28.086</v>
      </c>
      <c r="AW17" s="4">
        <f t="shared" si="6"/>
        <v>0</v>
      </c>
      <c r="AX17" s="4">
        <f t="shared" si="7"/>
        <v>0</v>
      </c>
      <c r="AY17" s="4">
        <f t="shared" si="8"/>
        <v>111.694</v>
      </c>
      <c r="AZ17" s="4">
        <f t="shared" si="9"/>
        <v>0</v>
      </c>
      <c r="BA17" s="4">
        <f t="shared" si="19"/>
        <v>203.78</v>
      </c>
    </row>
    <row r="18" spans="1:53" ht="15.75">
      <c r="A18" s="21" t="s">
        <v>161</v>
      </c>
      <c r="B18" s="49">
        <v>200.79</v>
      </c>
      <c r="C18" s="96">
        <v>62.6</v>
      </c>
      <c r="D18" s="50">
        <v>3196</v>
      </c>
      <c r="E18" s="51">
        <v>0</v>
      </c>
      <c r="F18" s="52">
        <v>5.05E-05</v>
      </c>
      <c r="G18" s="52" t="s">
        <v>224</v>
      </c>
      <c r="H18" s="67">
        <f>108500000000/(1+F18*0.42*R18*298)</f>
        <v>107852394794.9814</v>
      </c>
      <c r="I18" s="67" t="s">
        <v>479</v>
      </c>
      <c r="J18" s="96">
        <v>6.6</v>
      </c>
      <c r="K18" s="68" t="s">
        <v>606</v>
      </c>
      <c r="L18" s="67">
        <v>77900000000</v>
      </c>
      <c r="M18" s="67" t="s">
        <v>479</v>
      </c>
      <c r="N18" s="96">
        <f>T18</f>
        <v>7.55</v>
      </c>
      <c r="O18" s="96" t="s">
        <v>250</v>
      </c>
      <c r="P18" s="68">
        <v>1.9</v>
      </c>
      <c r="Q18" s="68" t="s">
        <v>605</v>
      </c>
      <c r="R18" s="68">
        <v>0.95</v>
      </c>
      <c r="S18" s="96" t="s">
        <v>4</v>
      </c>
      <c r="T18" s="68">
        <f>R18+J18</f>
        <v>7.55</v>
      </c>
      <c r="U18" s="68" t="s">
        <v>252</v>
      </c>
      <c r="W18" s="4">
        <v>6</v>
      </c>
      <c r="Y18" s="4">
        <v>2</v>
      </c>
      <c r="AA18" s="4">
        <v>2</v>
      </c>
      <c r="AG18" s="5">
        <f t="shared" si="10"/>
        <v>0</v>
      </c>
      <c r="AH18" s="5">
        <f t="shared" si="11"/>
        <v>0</v>
      </c>
      <c r="AI18" s="5">
        <f t="shared" si="12"/>
        <v>40.152194266818064</v>
      </c>
      <c r="AJ18" s="5">
        <f t="shared" si="13"/>
        <v>0</v>
      </c>
      <c r="AK18" s="5">
        <f t="shared" si="14"/>
        <v>59.85178987629236</v>
      </c>
      <c r="AL18" s="5">
        <f t="shared" si="15"/>
        <v>0</v>
      </c>
      <c r="AM18" s="5">
        <f t="shared" si="16"/>
        <v>0</v>
      </c>
      <c r="AN18" s="5">
        <f t="shared" si="17"/>
        <v>0</v>
      </c>
      <c r="AO18" s="5">
        <f t="shared" si="18"/>
        <v>0</v>
      </c>
      <c r="AQ18" s="4">
        <f t="shared" si="0"/>
        <v>0</v>
      </c>
      <c r="AR18" s="4">
        <f t="shared" si="1"/>
        <v>96</v>
      </c>
      <c r="AS18" s="4">
        <f t="shared" si="2"/>
        <v>0</v>
      </c>
      <c r="AT18" s="4">
        <f t="shared" si="3"/>
        <v>48.624</v>
      </c>
      <c r="AU18" s="4">
        <f t="shared" si="4"/>
        <v>0</v>
      </c>
      <c r="AV18" s="4">
        <f t="shared" si="5"/>
        <v>56.172</v>
      </c>
      <c r="AW18" s="4">
        <f t="shared" si="6"/>
        <v>0</v>
      </c>
      <c r="AX18" s="4">
        <f t="shared" si="7"/>
        <v>0</v>
      </c>
      <c r="AY18" s="4">
        <f t="shared" si="8"/>
        <v>0</v>
      </c>
      <c r="AZ18" s="4">
        <f t="shared" si="9"/>
        <v>0</v>
      </c>
      <c r="BA18" s="4">
        <f t="shared" si="19"/>
        <v>200.796</v>
      </c>
    </row>
    <row r="19" spans="1:53" ht="15.75">
      <c r="A19" s="21" t="s">
        <v>330</v>
      </c>
      <c r="B19" s="49">
        <v>263.86</v>
      </c>
      <c r="C19" s="96">
        <v>65.9</v>
      </c>
      <c r="D19" s="50">
        <v>4003</v>
      </c>
      <c r="E19" s="51">
        <v>0</v>
      </c>
      <c r="F19" s="52">
        <v>6.32E-05</v>
      </c>
      <c r="G19" s="52" t="s">
        <v>224</v>
      </c>
      <c r="H19" s="67">
        <f>101000000000/(1+F19*0.42*R19*298)</f>
        <v>100097369202.52109</v>
      </c>
      <c r="I19" s="67" t="s">
        <v>657</v>
      </c>
      <c r="J19" s="96">
        <f>J18</f>
        <v>6.6</v>
      </c>
      <c r="K19" s="96" t="s">
        <v>526</v>
      </c>
      <c r="L19" s="53">
        <v>52000000000</v>
      </c>
      <c r="M19" s="67" t="s">
        <v>657</v>
      </c>
      <c r="N19" s="96">
        <f aca="true" t="shared" si="21" ref="N19:N36">T19</f>
        <v>7.739999999999999</v>
      </c>
      <c r="O19" s="49" t="s">
        <v>250</v>
      </c>
      <c r="P19" s="68">
        <f>P18</f>
        <v>1.9</v>
      </c>
      <c r="Q19" s="68" t="s">
        <v>526</v>
      </c>
      <c r="R19" s="68">
        <v>1.14</v>
      </c>
      <c r="S19" s="49" t="s">
        <v>4</v>
      </c>
      <c r="T19" s="68">
        <f aca="true" t="shared" si="22" ref="T19:T36">R19+J19</f>
        <v>7.739999999999999</v>
      </c>
      <c r="U19" s="54" t="s">
        <v>252</v>
      </c>
      <c r="W19" s="4">
        <v>6</v>
      </c>
      <c r="AA19" s="4">
        <v>2</v>
      </c>
      <c r="AD19" s="4">
        <v>2</v>
      </c>
      <c r="AG19" s="5">
        <f t="shared" si="10"/>
        <v>0</v>
      </c>
      <c r="AH19" s="5">
        <f t="shared" si="11"/>
        <v>0</v>
      </c>
      <c r="AI19" s="5">
        <f t="shared" si="12"/>
        <v>0</v>
      </c>
      <c r="AJ19" s="5">
        <f t="shared" si="13"/>
        <v>0</v>
      </c>
      <c r="AK19" s="5">
        <f t="shared" si="14"/>
        <v>45.54584523962921</v>
      </c>
      <c r="AL19" s="5">
        <f t="shared" si="15"/>
        <v>0</v>
      </c>
      <c r="AM19" s="5">
        <f t="shared" si="16"/>
        <v>0</v>
      </c>
      <c r="AN19" s="5">
        <f t="shared" si="17"/>
        <v>54.459460483730375</v>
      </c>
      <c r="AO19" s="5">
        <f t="shared" si="18"/>
        <v>0</v>
      </c>
      <c r="AQ19" s="4">
        <f t="shared" si="0"/>
        <v>0</v>
      </c>
      <c r="AR19" s="4">
        <f t="shared" si="1"/>
        <v>96</v>
      </c>
      <c r="AS19" s="4">
        <f t="shared" si="2"/>
        <v>0</v>
      </c>
      <c r="AT19" s="4">
        <f t="shared" si="3"/>
        <v>0</v>
      </c>
      <c r="AU19" s="4">
        <f t="shared" si="4"/>
        <v>0</v>
      </c>
      <c r="AV19" s="4">
        <f t="shared" si="5"/>
        <v>56.172</v>
      </c>
      <c r="AW19" s="4">
        <f t="shared" si="6"/>
        <v>0</v>
      </c>
      <c r="AX19" s="4">
        <f t="shared" si="7"/>
        <v>0</v>
      </c>
      <c r="AY19" s="4">
        <f t="shared" si="8"/>
        <v>111.694</v>
      </c>
      <c r="AZ19" s="4">
        <f t="shared" si="9"/>
        <v>0</v>
      </c>
      <c r="BA19" s="4">
        <f t="shared" si="19"/>
        <v>263.866</v>
      </c>
    </row>
    <row r="20" spans="1:58" ht="15.75">
      <c r="A20" s="161" t="s">
        <v>551</v>
      </c>
      <c r="B20" s="96">
        <v>202.4</v>
      </c>
      <c r="C20" s="96">
        <v>58.9</v>
      </c>
      <c r="D20" s="97">
        <v>3436.332767402377</v>
      </c>
      <c r="E20" s="100">
        <v>0</v>
      </c>
      <c r="F20" s="98">
        <v>5.08E-05</v>
      </c>
      <c r="G20" s="98" t="s">
        <v>224</v>
      </c>
      <c r="H20" s="67">
        <f>(115000000000-0.79*H18-0.09*H19)/0.12</f>
        <v>173232040697.81494</v>
      </c>
      <c r="I20" s="67" t="s">
        <v>530</v>
      </c>
      <c r="J20" s="96">
        <f>J18</f>
        <v>6.6</v>
      </c>
      <c r="K20" s="96" t="s">
        <v>526</v>
      </c>
      <c r="L20" s="67">
        <f>(77900000000-0.79*L18-0.09*L19)/0.12</f>
        <v>97325000000</v>
      </c>
      <c r="M20" s="67" t="s">
        <v>530</v>
      </c>
      <c r="N20" s="96">
        <f>T20</f>
        <v>7.55</v>
      </c>
      <c r="O20" s="96" t="s">
        <v>250</v>
      </c>
      <c r="P20" s="68">
        <f>P19</f>
        <v>1.9</v>
      </c>
      <c r="Q20" s="68" t="s">
        <v>526</v>
      </c>
      <c r="R20" s="68">
        <f>R18</f>
        <v>0.95</v>
      </c>
      <c r="S20" s="67" t="s">
        <v>526</v>
      </c>
      <c r="T20" s="68">
        <f>R20+J20</f>
        <v>7.55</v>
      </c>
      <c r="U20" s="68" t="s">
        <v>252</v>
      </c>
      <c r="V20" s="105"/>
      <c r="W20" s="4">
        <v>6</v>
      </c>
      <c r="X20" s="104"/>
      <c r="Y20" s="104">
        <v>1</v>
      </c>
      <c r="Z20" s="104">
        <v>2</v>
      </c>
      <c r="AA20" s="4">
        <v>1</v>
      </c>
      <c r="AB20" s="104"/>
      <c r="AC20" s="104"/>
      <c r="AD20" s="104"/>
      <c r="AE20" s="104"/>
      <c r="AF20" s="104"/>
      <c r="AG20" s="5">
        <f>100*V20*oxideH/$BA20</f>
        <v>0</v>
      </c>
      <c r="AH20" s="5">
        <f>100*X20*oxideNa/$BA20</f>
        <v>0</v>
      </c>
      <c r="AI20" s="5">
        <f>100*Y20*oxideMg/$BA20</f>
        <v>19.920736106581273</v>
      </c>
      <c r="AJ20" s="5">
        <f>100*Z20*oxideAl/$BA20</f>
        <v>50.38693035253654</v>
      </c>
      <c r="AK20" s="5">
        <f>100*AA20*oxideSi/$BA20</f>
        <v>29.694310196578407</v>
      </c>
      <c r="AL20" s="5">
        <f>100*AB20*oxideK/$BA20</f>
        <v>0</v>
      </c>
      <c r="AM20" s="5">
        <f>100*AC20*oxideCa/$BA20</f>
        <v>0</v>
      </c>
      <c r="AN20" s="5">
        <f>100*AD20*oxideFe/$BA20</f>
        <v>0</v>
      </c>
      <c r="AO20" s="5">
        <f>100*AE20*oxideC/$BA20</f>
        <v>0</v>
      </c>
      <c r="AQ20" s="4">
        <f>V20*atwtH</f>
        <v>0</v>
      </c>
      <c r="AR20" s="4">
        <f>W20*atwtO</f>
        <v>96</v>
      </c>
      <c r="AS20" s="4">
        <f>X20*atwtNa</f>
        <v>0</v>
      </c>
      <c r="AT20" s="4">
        <f>Y20*atwtMg</f>
        <v>24.312</v>
      </c>
      <c r="AU20" s="4">
        <f>Z20*atwtAl</f>
        <v>53.964</v>
      </c>
      <c r="AV20" s="4">
        <f>AA20*atwtSi</f>
        <v>28.086</v>
      </c>
      <c r="AW20" s="4">
        <f>AB20*atwtK</f>
        <v>0</v>
      </c>
      <c r="AX20" s="4">
        <f>AC20*atwtCa</f>
        <v>0</v>
      </c>
      <c r="AY20" s="4">
        <f>AD20*atwtFe</f>
        <v>0</v>
      </c>
      <c r="AZ20" s="4">
        <f>AE20*atwtC</f>
        <v>0</v>
      </c>
      <c r="BA20" s="4">
        <f>SUM(AQ20:AZ20)</f>
        <v>202.36200000000002</v>
      </c>
      <c r="BB20" s="104"/>
      <c r="BC20" s="104"/>
      <c r="BD20" s="104"/>
      <c r="BE20" s="104"/>
      <c r="BF20" s="104"/>
    </row>
    <row r="21" spans="1:53" ht="15.75">
      <c r="A21" s="21" t="s">
        <v>282</v>
      </c>
      <c r="B21" s="49">
        <v>216.56</v>
      </c>
      <c r="C21" s="96">
        <v>66.19</v>
      </c>
      <c r="D21" s="97">
        <v>3268</v>
      </c>
      <c r="E21" s="51">
        <v>0</v>
      </c>
      <c r="F21" s="52">
        <v>5.7E-05</v>
      </c>
      <c r="G21" s="52" t="s">
        <v>224</v>
      </c>
      <c r="H21" s="67">
        <v>116500000000</v>
      </c>
      <c r="I21" s="68" t="s">
        <v>604</v>
      </c>
      <c r="J21" s="96">
        <v>4.5</v>
      </c>
      <c r="K21" s="68" t="s">
        <v>602</v>
      </c>
      <c r="L21" s="67">
        <v>72800000000</v>
      </c>
      <c r="M21" s="68" t="s">
        <v>604</v>
      </c>
      <c r="N21" s="96">
        <v>4</v>
      </c>
      <c r="O21" s="68" t="s">
        <v>604</v>
      </c>
      <c r="P21" s="68">
        <f>P18</f>
        <v>1.9</v>
      </c>
      <c r="Q21" s="68" t="s">
        <v>526</v>
      </c>
      <c r="R21" s="68">
        <v>1.1</v>
      </c>
      <c r="S21" s="96" t="s">
        <v>604</v>
      </c>
      <c r="T21" s="68">
        <v>4.5</v>
      </c>
      <c r="U21" s="68" t="s">
        <v>604</v>
      </c>
      <c r="W21" s="4">
        <v>6</v>
      </c>
      <c r="Y21" s="4">
        <v>1</v>
      </c>
      <c r="AA21" s="4">
        <v>2</v>
      </c>
      <c r="AC21" s="4">
        <v>1</v>
      </c>
      <c r="AG21" s="5">
        <f t="shared" si="10"/>
        <v>0</v>
      </c>
      <c r="AH21" s="5">
        <f t="shared" si="11"/>
        <v>0</v>
      </c>
      <c r="AI21" s="5">
        <f t="shared" si="12"/>
        <v>18.614358803863986</v>
      </c>
      <c r="AJ21" s="5">
        <f t="shared" si="13"/>
        <v>0</v>
      </c>
      <c r="AK21" s="5">
        <f t="shared" si="14"/>
        <v>55.493987920429994</v>
      </c>
      <c r="AL21" s="5">
        <f t="shared" si="15"/>
        <v>0</v>
      </c>
      <c r="AM21" s="5">
        <f t="shared" si="16"/>
        <v>25.895347333813564</v>
      </c>
      <c r="AN21" s="5">
        <f t="shared" si="17"/>
        <v>0</v>
      </c>
      <c r="AO21" s="5">
        <f t="shared" si="18"/>
        <v>0</v>
      </c>
      <c r="AQ21" s="4">
        <f t="shared" si="0"/>
        <v>0</v>
      </c>
      <c r="AR21" s="4">
        <f t="shared" si="1"/>
        <v>96</v>
      </c>
      <c r="AS21" s="4">
        <f t="shared" si="2"/>
        <v>0</v>
      </c>
      <c r="AT21" s="4">
        <f t="shared" si="3"/>
        <v>24.312</v>
      </c>
      <c r="AU21" s="4">
        <f t="shared" si="4"/>
        <v>0</v>
      </c>
      <c r="AV21" s="4">
        <f t="shared" si="5"/>
        <v>56.172</v>
      </c>
      <c r="AW21" s="4">
        <f t="shared" si="6"/>
        <v>0</v>
      </c>
      <c r="AX21" s="4">
        <f t="shared" si="7"/>
        <v>40.08</v>
      </c>
      <c r="AY21" s="4">
        <f t="shared" si="8"/>
        <v>0</v>
      </c>
      <c r="AZ21" s="4">
        <f t="shared" si="9"/>
        <v>0</v>
      </c>
      <c r="BA21" s="4">
        <f t="shared" si="19"/>
        <v>216.56399999999996</v>
      </c>
    </row>
    <row r="22" spans="1:53" ht="15.75">
      <c r="A22" s="21" t="s">
        <v>332</v>
      </c>
      <c r="B22" s="49">
        <v>248.09</v>
      </c>
      <c r="C22" s="96">
        <v>67.95</v>
      </c>
      <c r="D22" s="50">
        <v>3657</v>
      </c>
      <c r="E22" s="51">
        <v>0</v>
      </c>
      <c r="F22" s="52">
        <v>5.7E-05</v>
      </c>
      <c r="G22" s="52" t="s">
        <v>224</v>
      </c>
      <c r="H22" s="67">
        <v>120500000000</v>
      </c>
      <c r="I22" s="67" t="s">
        <v>487</v>
      </c>
      <c r="J22" s="96">
        <f>J21</f>
        <v>4.5</v>
      </c>
      <c r="K22" s="68" t="s">
        <v>525</v>
      </c>
      <c r="L22" s="67">
        <v>61800000000</v>
      </c>
      <c r="M22" s="67" t="s">
        <v>487</v>
      </c>
      <c r="N22" s="96">
        <f>T22</f>
        <v>6</v>
      </c>
      <c r="O22" s="49" t="s">
        <v>250</v>
      </c>
      <c r="P22" s="68">
        <f>P18</f>
        <v>1.9</v>
      </c>
      <c r="Q22" s="68" t="s">
        <v>526</v>
      </c>
      <c r="R22" s="68">
        <v>1.5</v>
      </c>
      <c r="S22" s="96" t="s">
        <v>496</v>
      </c>
      <c r="T22" s="68">
        <f>R22+J22</f>
        <v>6</v>
      </c>
      <c r="U22" s="54" t="s">
        <v>252</v>
      </c>
      <c r="W22" s="4">
        <v>6</v>
      </c>
      <c r="AA22" s="4">
        <v>2</v>
      </c>
      <c r="AC22" s="4">
        <v>1</v>
      </c>
      <c r="AD22" s="4">
        <v>1</v>
      </c>
      <c r="AG22" s="5">
        <f t="shared" si="10"/>
        <v>0</v>
      </c>
      <c r="AH22" s="5">
        <f t="shared" si="11"/>
        <v>0</v>
      </c>
      <c r="AI22" s="5">
        <f t="shared" si="12"/>
        <v>0</v>
      </c>
      <c r="AJ22" s="5">
        <f t="shared" si="13"/>
        <v>0</v>
      </c>
      <c r="AK22" s="5">
        <f t="shared" si="14"/>
        <v>48.44034034800624</v>
      </c>
      <c r="AL22" s="5">
        <f t="shared" si="15"/>
        <v>0</v>
      </c>
      <c r="AM22" s="5">
        <f t="shared" si="16"/>
        <v>22.603879902780744</v>
      </c>
      <c r="AN22" s="5">
        <f t="shared" si="17"/>
        <v>28.960213463173968</v>
      </c>
      <c r="AO22" s="5">
        <f t="shared" si="18"/>
        <v>0</v>
      </c>
      <c r="AQ22" s="4">
        <f t="shared" si="0"/>
        <v>0</v>
      </c>
      <c r="AR22" s="4">
        <f t="shared" si="1"/>
        <v>96</v>
      </c>
      <c r="AS22" s="4">
        <f t="shared" si="2"/>
        <v>0</v>
      </c>
      <c r="AT22" s="4">
        <f t="shared" si="3"/>
        <v>0</v>
      </c>
      <c r="AU22" s="4">
        <f t="shared" si="4"/>
        <v>0</v>
      </c>
      <c r="AV22" s="4">
        <f t="shared" si="5"/>
        <v>56.172</v>
      </c>
      <c r="AW22" s="4">
        <f t="shared" si="6"/>
        <v>0</v>
      </c>
      <c r="AX22" s="4">
        <f t="shared" si="7"/>
        <v>40.08</v>
      </c>
      <c r="AY22" s="4">
        <f t="shared" si="8"/>
        <v>55.847</v>
      </c>
      <c r="AZ22" s="4">
        <f t="shared" si="9"/>
        <v>0</v>
      </c>
      <c r="BA22" s="4">
        <f t="shared" si="19"/>
        <v>248.09900000000002</v>
      </c>
    </row>
    <row r="23" spans="1:53" ht="15.75">
      <c r="A23" s="21" t="s">
        <v>160</v>
      </c>
      <c r="B23" s="49">
        <v>202.11</v>
      </c>
      <c r="C23" s="96">
        <v>60.4</v>
      </c>
      <c r="D23" s="50">
        <v>3346</v>
      </c>
      <c r="E23" s="51">
        <v>0</v>
      </c>
      <c r="F23" s="52">
        <v>4.66E-05</v>
      </c>
      <c r="G23" s="52" t="s">
        <v>224</v>
      </c>
      <c r="H23" s="67">
        <v>142800000000</v>
      </c>
      <c r="I23" s="67" t="s">
        <v>504</v>
      </c>
      <c r="J23" s="96">
        <v>1.6</v>
      </c>
      <c r="K23" s="67" t="s">
        <v>504</v>
      </c>
      <c r="L23" s="67">
        <v>85000000000</v>
      </c>
      <c r="M23" s="67" t="s">
        <v>488</v>
      </c>
      <c r="N23" s="96">
        <f t="shared" si="21"/>
        <v>2.6500000000000004</v>
      </c>
      <c r="O23" s="49" t="s">
        <v>250</v>
      </c>
      <c r="P23" s="68">
        <f>P18</f>
        <v>1.9</v>
      </c>
      <c r="Q23" s="68" t="s">
        <v>526</v>
      </c>
      <c r="R23" s="68">
        <v>1.05</v>
      </c>
      <c r="S23" s="49" t="s">
        <v>4</v>
      </c>
      <c r="T23" s="68">
        <f t="shared" si="22"/>
        <v>2.6500000000000004</v>
      </c>
      <c r="U23" s="54" t="s">
        <v>252</v>
      </c>
      <c r="W23" s="4">
        <v>6</v>
      </c>
      <c r="X23" s="4">
        <v>1</v>
      </c>
      <c r="Z23" s="4">
        <v>1</v>
      </c>
      <c r="AA23" s="4">
        <v>2</v>
      </c>
      <c r="AG23" s="5">
        <f t="shared" si="10"/>
        <v>0</v>
      </c>
      <c r="AH23" s="5">
        <f t="shared" si="11"/>
        <v>15.330655374386577</v>
      </c>
      <c r="AI23" s="5">
        <f t="shared" si="12"/>
        <v>0</v>
      </c>
      <c r="AJ23" s="5">
        <f t="shared" si="13"/>
        <v>25.22063479499763</v>
      </c>
      <c r="AK23" s="5">
        <f t="shared" si="14"/>
        <v>59.45266740541397</v>
      </c>
      <c r="AL23" s="5">
        <f t="shared" si="15"/>
        <v>0</v>
      </c>
      <c r="AM23" s="5">
        <f t="shared" si="16"/>
        <v>0</v>
      </c>
      <c r="AN23" s="5">
        <f t="shared" si="17"/>
        <v>0</v>
      </c>
      <c r="AO23" s="5">
        <f t="shared" si="18"/>
        <v>0</v>
      </c>
      <c r="AQ23" s="4">
        <f t="shared" si="0"/>
        <v>0</v>
      </c>
      <c r="AR23" s="4">
        <f t="shared" si="1"/>
        <v>96</v>
      </c>
      <c r="AS23" s="4">
        <f t="shared" si="2"/>
        <v>22.99</v>
      </c>
      <c r="AT23" s="4">
        <f t="shared" si="3"/>
        <v>0</v>
      </c>
      <c r="AU23" s="4">
        <f t="shared" si="4"/>
        <v>26.982</v>
      </c>
      <c r="AV23" s="4">
        <f t="shared" si="5"/>
        <v>56.172</v>
      </c>
      <c r="AW23" s="4">
        <f t="shared" si="6"/>
        <v>0</v>
      </c>
      <c r="AX23" s="4">
        <f t="shared" si="7"/>
        <v>0</v>
      </c>
      <c r="AY23" s="4">
        <f t="shared" si="8"/>
        <v>0</v>
      </c>
      <c r="AZ23" s="4">
        <f t="shared" si="9"/>
        <v>0</v>
      </c>
      <c r="BA23" s="4">
        <f t="shared" si="19"/>
        <v>202.14399999999998</v>
      </c>
    </row>
    <row r="24" spans="1:53" ht="15.75">
      <c r="A24" s="161" t="s">
        <v>489</v>
      </c>
      <c r="B24" s="96">
        <v>231</v>
      </c>
      <c r="C24" s="96">
        <v>64.6</v>
      </c>
      <c r="D24" s="97">
        <v>3575.8513931888547</v>
      </c>
      <c r="E24" s="100">
        <v>0</v>
      </c>
      <c r="F24" s="98">
        <v>4.66E-05</v>
      </c>
      <c r="G24" s="98" t="s">
        <v>224</v>
      </c>
      <c r="H24" s="67">
        <v>117000000000</v>
      </c>
      <c r="I24" s="67" t="s">
        <v>513</v>
      </c>
      <c r="J24" s="68">
        <v>3.2</v>
      </c>
      <c r="K24" s="67" t="s">
        <v>513</v>
      </c>
      <c r="L24" s="67">
        <v>58000000000</v>
      </c>
      <c r="M24" s="67" t="s">
        <v>488</v>
      </c>
      <c r="N24" s="96">
        <f>T24</f>
        <v>4.08</v>
      </c>
      <c r="O24" s="96" t="s">
        <v>250</v>
      </c>
      <c r="P24" s="68">
        <f>P19</f>
        <v>1.9</v>
      </c>
      <c r="Q24" s="68" t="s">
        <v>526</v>
      </c>
      <c r="R24" s="68">
        <v>0.88</v>
      </c>
      <c r="S24" s="96" t="s">
        <v>4</v>
      </c>
      <c r="T24" s="68">
        <f>R24+J24</f>
        <v>4.08</v>
      </c>
      <c r="U24" s="68" t="s">
        <v>252</v>
      </c>
      <c r="W24" s="4">
        <v>6</v>
      </c>
      <c r="X24" s="4">
        <v>1</v>
      </c>
      <c r="AA24" s="4">
        <v>2</v>
      </c>
      <c r="AD24" s="4">
        <v>1</v>
      </c>
      <c r="AG24" s="5">
        <f>100*V24*oxideH/$BA24</f>
        <v>0</v>
      </c>
      <c r="AH24" s="5">
        <f>100*X24*oxideNa/$BA24</f>
        <v>13.415061750840877</v>
      </c>
      <c r="AI24" s="5">
        <f>100*Y24*oxideMg/$BA24</f>
        <v>0</v>
      </c>
      <c r="AJ24" s="5">
        <f>100*Z24*oxideAl/$BA24</f>
        <v>0</v>
      </c>
      <c r="AK24" s="5">
        <f>100*AA24*oxideSi/$BA24</f>
        <v>52.02394711894342</v>
      </c>
      <c r="AL24" s="5">
        <f>100*AB24*oxideK/$BA24</f>
        <v>0</v>
      </c>
      <c r="AM24" s="5">
        <f>100*AC24*oxideCa/$BA24</f>
        <v>0</v>
      </c>
      <c r="AN24" s="5">
        <f>100*AD24*oxideFe/$BA24</f>
        <v>31.102684311000868</v>
      </c>
      <c r="AO24" s="5">
        <f>100*AE24*oxideC/$BA24</f>
        <v>0</v>
      </c>
      <c r="AQ24" s="4">
        <f>V24*atwtH</f>
        <v>0</v>
      </c>
      <c r="AR24" s="4">
        <f>W24*atwtO</f>
        <v>96</v>
      </c>
      <c r="AS24" s="4">
        <f>X24*atwtNa</f>
        <v>22.99</v>
      </c>
      <c r="AT24" s="4">
        <f>Y24*atwtMg</f>
        <v>0</v>
      </c>
      <c r="AU24" s="4">
        <f>Z24*atwtAl</f>
        <v>0</v>
      </c>
      <c r="AV24" s="4">
        <f>AA24*atwtSi</f>
        <v>56.172</v>
      </c>
      <c r="AW24" s="4">
        <f>AB24*atwtK</f>
        <v>0</v>
      </c>
      <c r="AX24" s="4">
        <f>AC24*atwtCa</f>
        <v>0</v>
      </c>
      <c r="AY24" s="4">
        <f>AD24*atwtFe</f>
        <v>55.847</v>
      </c>
      <c r="AZ24" s="4">
        <f>AE24*atwtC</f>
        <v>0</v>
      </c>
      <c r="BA24" s="4">
        <f>SUM(AQ24:AZ24)</f>
        <v>231.009</v>
      </c>
    </row>
    <row r="25" spans="1:72" ht="15.75">
      <c r="A25" s="161" t="s">
        <v>552</v>
      </c>
      <c r="B25" s="96">
        <v>218.1</v>
      </c>
      <c r="C25" s="96">
        <v>63.56</v>
      </c>
      <c r="D25" s="97">
        <v>3431.4033983637505</v>
      </c>
      <c r="E25" s="100">
        <v>0</v>
      </c>
      <c r="F25" s="98">
        <v>4.43E-05</v>
      </c>
      <c r="G25" s="98" t="s">
        <v>224</v>
      </c>
      <c r="H25" s="67">
        <f>(116000000000-0.75*H21-0.09*H22-0.03*H23)/0.12</f>
        <v>112466666666.66667</v>
      </c>
      <c r="I25" s="67" t="s">
        <v>521</v>
      </c>
      <c r="J25" s="96">
        <v>4.8</v>
      </c>
      <c r="K25" s="68" t="s">
        <v>525</v>
      </c>
      <c r="L25" s="67">
        <f>(72200000000-0.75*L21-0.09*L22-0.03*L23)/0.12</f>
        <v>79066666666.66667</v>
      </c>
      <c r="M25" s="67" t="s">
        <v>521</v>
      </c>
      <c r="N25" s="96">
        <f>T25</f>
        <v>5.9</v>
      </c>
      <c r="O25" s="96" t="s">
        <v>250</v>
      </c>
      <c r="P25" s="68">
        <f>P20</f>
        <v>1.9</v>
      </c>
      <c r="Q25" s="68" t="s">
        <v>526</v>
      </c>
      <c r="R25" s="68">
        <f>R21</f>
        <v>1.1</v>
      </c>
      <c r="S25" s="67" t="s">
        <v>525</v>
      </c>
      <c r="T25" s="68">
        <f>R25+J25</f>
        <v>5.9</v>
      </c>
      <c r="U25" s="68" t="s">
        <v>252</v>
      </c>
      <c r="V25" s="105"/>
      <c r="W25" s="4">
        <v>6</v>
      </c>
      <c r="X25" s="104"/>
      <c r="Y25" s="104"/>
      <c r="Z25" s="104">
        <v>2</v>
      </c>
      <c r="AA25" s="4">
        <v>1</v>
      </c>
      <c r="AB25" s="104"/>
      <c r="AC25" s="104">
        <v>1</v>
      </c>
      <c r="AD25" s="104"/>
      <c r="AE25" s="104"/>
      <c r="AF25" s="104"/>
      <c r="AG25" s="5">
        <f>100*V25*oxideH/$BA25</f>
        <v>0</v>
      </c>
      <c r="AH25" s="5">
        <f>100*X25*oxideNa/$BA25</f>
        <v>0</v>
      </c>
      <c r="AI25" s="5">
        <f>100*Y25*oxideMg/$BA25</f>
        <v>0</v>
      </c>
      <c r="AJ25" s="5">
        <f>100*Z25*oxideAl/$BA25</f>
        <v>46.7446018429377</v>
      </c>
      <c r="AK25" s="5">
        <f>100*AA25*oxideSi/$BA25</f>
        <v>27.547792600742678</v>
      </c>
      <c r="AL25" s="5">
        <f>100*AB25*oxideK/$BA25</f>
        <v>0</v>
      </c>
      <c r="AM25" s="5">
        <f>100*AC25*oxideCa/$BA25</f>
        <v>25.70943932517306</v>
      </c>
      <c r="AN25" s="5">
        <f>100*AD25*oxideFe/$BA25</f>
        <v>0</v>
      </c>
      <c r="AO25" s="5">
        <f>100*AE25*oxideC/$BA25</f>
        <v>0</v>
      </c>
      <c r="AQ25" s="4">
        <f>V25*atwtH</f>
        <v>0</v>
      </c>
      <c r="AR25" s="4">
        <f>W25*atwtO</f>
        <v>96</v>
      </c>
      <c r="AS25" s="4">
        <f>X25*atwtNa</f>
        <v>0</v>
      </c>
      <c r="AT25" s="4">
        <f>Y25*atwtMg</f>
        <v>0</v>
      </c>
      <c r="AU25" s="4">
        <f>Z25*atwtAl</f>
        <v>53.964</v>
      </c>
      <c r="AV25" s="4">
        <f>AA25*atwtSi</f>
        <v>28.086</v>
      </c>
      <c r="AW25" s="4">
        <f>AB25*atwtK</f>
        <v>0</v>
      </c>
      <c r="AX25" s="4">
        <f>AC25*atwtCa</f>
        <v>40.08</v>
      </c>
      <c r="AY25" s="4">
        <f>AD25*atwtFe</f>
        <v>0</v>
      </c>
      <c r="AZ25" s="4">
        <f>AE25*atwtC</f>
        <v>0</v>
      </c>
      <c r="BA25" s="4">
        <f>SUM(AQ25:AZ25)</f>
        <v>218.13</v>
      </c>
      <c r="BB25" s="104"/>
      <c r="BC25" s="104"/>
      <c r="BD25" s="104"/>
      <c r="BE25" s="104"/>
      <c r="BF25" s="104"/>
      <c r="BM25" s="150"/>
      <c r="BN25" s="150"/>
      <c r="BO25" s="150"/>
      <c r="BP25" s="150"/>
      <c r="BQ25" s="150"/>
      <c r="BR25" s="150"/>
      <c r="BS25" s="150"/>
      <c r="BT25" s="150"/>
    </row>
    <row r="26" spans="1:64" ht="15.75">
      <c r="A26" s="21" t="s">
        <v>170</v>
      </c>
      <c r="B26" s="49">
        <v>783.6</v>
      </c>
      <c r="C26" s="96">
        <v>260.5</v>
      </c>
      <c r="D26" s="50">
        <v>3008</v>
      </c>
      <c r="E26" s="51">
        <v>2.3</v>
      </c>
      <c r="F26" s="52">
        <v>5.3E-05</v>
      </c>
      <c r="G26" s="52" t="s">
        <v>224</v>
      </c>
      <c r="H26" s="67">
        <v>94900000000</v>
      </c>
      <c r="I26" s="67" t="s">
        <v>656</v>
      </c>
      <c r="J26" s="50">
        <v>4</v>
      </c>
      <c r="K26" s="54" t="s">
        <v>230</v>
      </c>
      <c r="L26" s="67">
        <v>63700000000</v>
      </c>
      <c r="M26" s="67" t="s">
        <v>656</v>
      </c>
      <c r="N26" s="96">
        <f t="shared" si="21"/>
        <v>4.86</v>
      </c>
      <c r="O26" s="49" t="s">
        <v>250</v>
      </c>
      <c r="P26" s="54">
        <f aca="true" t="shared" si="23" ref="P26:P37">(5*L26)/(3*H26)</f>
        <v>1.1187214611872147</v>
      </c>
      <c r="Q26" s="54" t="s">
        <v>13</v>
      </c>
      <c r="R26" s="68">
        <v>0.86</v>
      </c>
      <c r="S26" s="49" t="s">
        <v>4</v>
      </c>
      <c r="T26" s="68">
        <f t="shared" si="22"/>
        <v>4.86</v>
      </c>
      <c r="U26" s="54" t="s">
        <v>252</v>
      </c>
      <c r="V26" s="5">
        <v>2</v>
      </c>
      <c r="W26" s="4">
        <v>24</v>
      </c>
      <c r="X26" s="4">
        <v>2</v>
      </c>
      <c r="Y26" s="4">
        <v>3</v>
      </c>
      <c r="Z26" s="4">
        <v>2</v>
      </c>
      <c r="AA26" s="4">
        <v>8</v>
      </c>
      <c r="AG26" s="5">
        <f t="shared" si="10"/>
        <v>2.2991791562870096</v>
      </c>
      <c r="AH26" s="5">
        <f t="shared" si="11"/>
        <v>7.9098092865602165</v>
      </c>
      <c r="AI26" s="5">
        <f t="shared" si="12"/>
        <v>15.43369951402785</v>
      </c>
      <c r="AJ26" s="5">
        <f t="shared" si="13"/>
        <v>13.012516845673215</v>
      </c>
      <c r="AK26" s="5">
        <f t="shared" si="14"/>
        <v>61.34887899701883</v>
      </c>
      <c r="AL26" s="5">
        <f t="shared" si="15"/>
        <v>0</v>
      </c>
      <c r="AM26" s="5">
        <f t="shared" si="16"/>
        <v>0</v>
      </c>
      <c r="AN26" s="5">
        <f t="shared" si="17"/>
        <v>0</v>
      </c>
      <c r="AO26" s="5">
        <f t="shared" si="18"/>
        <v>0</v>
      </c>
      <c r="AQ26" s="4">
        <f t="shared" si="0"/>
        <v>2.016</v>
      </c>
      <c r="AR26" s="4">
        <f t="shared" si="1"/>
        <v>384</v>
      </c>
      <c r="AS26" s="4">
        <f t="shared" si="2"/>
        <v>45.98</v>
      </c>
      <c r="AT26" s="4">
        <f t="shared" si="3"/>
        <v>72.936</v>
      </c>
      <c r="AU26" s="4">
        <f t="shared" si="4"/>
        <v>53.964</v>
      </c>
      <c r="AV26" s="4">
        <f t="shared" si="5"/>
        <v>224.688</v>
      </c>
      <c r="AW26" s="4">
        <f t="shared" si="6"/>
        <v>0</v>
      </c>
      <c r="AX26" s="4">
        <f t="shared" si="7"/>
        <v>0</v>
      </c>
      <c r="AY26" s="4">
        <f t="shared" si="8"/>
        <v>0</v>
      </c>
      <c r="AZ26" s="4">
        <f t="shared" si="9"/>
        <v>0</v>
      </c>
      <c r="BA26" s="4">
        <f t="shared" si="19"/>
        <v>783.584</v>
      </c>
      <c r="BL26" s="151"/>
    </row>
    <row r="27" spans="1:64" ht="15.75">
      <c r="A27" s="21" t="s">
        <v>166</v>
      </c>
      <c r="B27" s="49">
        <v>878.13</v>
      </c>
      <c r="C27" s="96">
        <v>265.9</v>
      </c>
      <c r="D27" s="50">
        <v>3302</v>
      </c>
      <c r="E27" s="51">
        <v>2.1</v>
      </c>
      <c r="F27" s="52">
        <v>5.3E-05</v>
      </c>
      <c r="G27" s="52" t="s">
        <v>224</v>
      </c>
      <c r="H27" s="53">
        <v>89000000000</v>
      </c>
      <c r="I27" s="53" t="s">
        <v>231</v>
      </c>
      <c r="J27" s="50">
        <v>4</v>
      </c>
      <c r="K27" s="54" t="s">
        <v>110</v>
      </c>
      <c r="L27" s="53">
        <f>L32*H27/H32</f>
        <v>52877477242.83845</v>
      </c>
      <c r="M27" s="53" t="s">
        <v>232</v>
      </c>
      <c r="N27" s="96">
        <f t="shared" si="21"/>
        <v>4.87</v>
      </c>
      <c r="O27" s="49" t="s">
        <v>250</v>
      </c>
      <c r="P27" s="54">
        <f t="shared" si="23"/>
        <v>0.9902149296411694</v>
      </c>
      <c r="Q27" s="54" t="s">
        <v>13</v>
      </c>
      <c r="R27" s="68">
        <v>0.87</v>
      </c>
      <c r="S27" s="49" t="s">
        <v>4</v>
      </c>
      <c r="T27" s="68">
        <f t="shared" si="22"/>
        <v>4.87</v>
      </c>
      <c r="U27" s="54" t="s">
        <v>252</v>
      </c>
      <c r="V27" s="5">
        <v>2</v>
      </c>
      <c r="W27" s="4">
        <v>24</v>
      </c>
      <c r="X27" s="4">
        <v>2</v>
      </c>
      <c r="Z27" s="4">
        <v>2</v>
      </c>
      <c r="AA27" s="4">
        <v>8</v>
      </c>
      <c r="AD27" s="4">
        <v>3</v>
      </c>
      <c r="AG27" s="5">
        <f t="shared" si="10"/>
        <v>2.0514946099302085</v>
      </c>
      <c r="AH27" s="5">
        <f t="shared" si="11"/>
        <v>7.057706256853592</v>
      </c>
      <c r="AI27" s="5">
        <f t="shared" si="12"/>
        <v>0</v>
      </c>
      <c r="AJ27" s="5">
        <f t="shared" si="13"/>
        <v>11.610712500384313</v>
      </c>
      <c r="AK27" s="5">
        <f t="shared" si="14"/>
        <v>54.7399250047541</v>
      </c>
      <c r="AL27" s="5">
        <f t="shared" si="15"/>
        <v>0</v>
      </c>
      <c r="AM27" s="5">
        <f t="shared" si="16"/>
        <v>0</v>
      </c>
      <c r="AN27" s="5">
        <f t="shared" si="17"/>
        <v>24.54483032695695</v>
      </c>
      <c r="AO27" s="5">
        <f t="shared" si="18"/>
        <v>0</v>
      </c>
      <c r="AQ27" s="4">
        <f t="shared" si="0"/>
        <v>2.016</v>
      </c>
      <c r="AR27" s="4">
        <f t="shared" si="1"/>
        <v>384</v>
      </c>
      <c r="AS27" s="4">
        <f t="shared" si="2"/>
        <v>45.98</v>
      </c>
      <c r="AT27" s="4">
        <f t="shared" si="3"/>
        <v>0</v>
      </c>
      <c r="AU27" s="4">
        <f t="shared" si="4"/>
        <v>53.964</v>
      </c>
      <c r="AV27" s="4">
        <f t="shared" si="5"/>
        <v>224.688</v>
      </c>
      <c r="AW27" s="4">
        <f t="shared" si="6"/>
        <v>0</v>
      </c>
      <c r="AX27" s="4">
        <f t="shared" si="7"/>
        <v>0</v>
      </c>
      <c r="AY27" s="4">
        <f t="shared" si="8"/>
        <v>167.541</v>
      </c>
      <c r="AZ27" s="4">
        <f t="shared" si="9"/>
        <v>0</v>
      </c>
      <c r="BA27" s="4">
        <f t="shared" si="19"/>
        <v>878.1890000000001</v>
      </c>
      <c r="BL27" s="151"/>
    </row>
    <row r="28" spans="1:64" ht="15.75">
      <c r="A28" s="21" t="s">
        <v>283</v>
      </c>
      <c r="B28" s="49">
        <v>812.37</v>
      </c>
      <c r="C28" s="96">
        <v>272.7</v>
      </c>
      <c r="D28" s="50">
        <v>2979</v>
      </c>
      <c r="E28" s="51">
        <v>2.2</v>
      </c>
      <c r="F28" s="52">
        <v>5.34E-05</v>
      </c>
      <c r="G28" s="52" t="s">
        <v>224</v>
      </c>
      <c r="H28" s="53">
        <v>85000000000</v>
      </c>
      <c r="I28" s="53" t="s">
        <v>230</v>
      </c>
      <c r="J28" s="50">
        <v>4</v>
      </c>
      <c r="K28" s="54" t="s">
        <v>230</v>
      </c>
      <c r="L28" s="53">
        <f>L32*H28/H32</f>
        <v>50500961411.699646</v>
      </c>
      <c r="M28" s="53" t="s">
        <v>232</v>
      </c>
      <c r="N28" s="96">
        <f t="shared" si="21"/>
        <v>4.79</v>
      </c>
      <c r="O28" s="49" t="s">
        <v>250</v>
      </c>
      <c r="P28" s="54">
        <f t="shared" si="23"/>
        <v>0.9902149296411695</v>
      </c>
      <c r="Q28" s="54" t="s">
        <v>13</v>
      </c>
      <c r="R28" s="68">
        <v>0.79</v>
      </c>
      <c r="S28" s="49" t="s">
        <v>4</v>
      </c>
      <c r="T28" s="68">
        <f t="shared" si="22"/>
        <v>4.79</v>
      </c>
      <c r="U28" s="54" t="s">
        <v>252</v>
      </c>
      <c r="V28" s="5">
        <v>2</v>
      </c>
      <c r="W28" s="4">
        <v>24</v>
      </c>
      <c r="Y28" s="4">
        <v>5</v>
      </c>
      <c r="AA28" s="4">
        <v>8</v>
      </c>
      <c r="AC28" s="4">
        <v>2</v>
      </c>
      <c r="AG28" s="5">
        <f t="shared" si="10"/>
        <v>2.2175612734237293</v>
      </c>
      <c r="AH28" s="5">
        <f t="shared" si="11"/>
        <v>0</v>
      </c>
      <c r="AI28" s="5">
        <f t="shared" si="12"/>
        <v>24.809705277047453</v>
      </c>
      <c r="AJ28" s="5">
        <f t="shared" si="13"/>
        <v>0</v>
      </c>
      <c r="AK28" s="5">
        <f t="shared" si="14"/>
        <v>59.17107323269623</v>
      </c>
      <c r="AL28" s="5">
        <f t="shared" si="15"/>
        <v>0</v>
      </c>
      <c r="AM28" s="5">
        <f t="shared" si="16"/>
        <v>13.805599046803147</v>
      </c>
      <c r="AN28" s="5">
        <f t="shared" si="17"/>
        <v>0</v>
      </c>
      <c r="AO28" s="5">
        <f t="shared" si="18"/>
        <v>0</v>
      </c>
      <c r="AQ28" s="4">
        <f t="shared" si="0"/>
        <v>2.016</v>
      </c>
      <c r="AR28" s="4">
        <f t="shared" si="1"/>
        <v>384</v>
      </c>
      <c r="AS28" s="4">
        <f t="shared" si="2"/>
        <v>0</v>
      </c>
      <c r="AT28" s="4">
        <f t="shared" si="3"/>
        <v>121.56</v>
      </c>
      <c r="AU28" s="4">
        <f t="shared" si="4"/>
        <v>0</v>
      </c>
      <c r="AV28" s="4">
        <f t="shared" si="5"/>
        <v>224.688</v>
      </c>
      <c r="AW28" s="4">
        <f t="shared" si="6"/>
        <v>0</v>
      </c>
      <c r="AX28" s="4">
        <f t="shared" si="7"/>
        <v>80.16</v>
      </c>
      <c r="AY28" s="4">
        <f t="shared" si="8"/>
        <v>0</v>
      </c>
      <c r="AZ28" s="4">
        <f t="shared" si="9"/>
        <v>0</v>
      </c>
      <c r="BA28" s="4">
        <f t="shared" si="19"/>
        <v>812.424</v>
      </c>
      <c r="BL28" s="151"/>
    </row>
    <row r="29" spans="1:64" ht="15.75">
      <c r="A29" s="21" t="s">
        <v>167</v>
      </c>
      <c r="B29" s="49">
        <v>970.07</v>
      </c>
      <c r="C29" s="96">
        <v>282.8</v>
      </c>
      <c r="D29" s="50">
        <v>3430</v>
      </c>
      <c r="E29" s="51">
        <v>1.9</v>
      </c>
      <c r="F29" s="52">
        <v>5.34E-05</v>
      </c>
      <c r="G29" s="52" t="s">
        <v>224</v>
      </c>
      <c r="H29" s="53">
        <v>76000000000</v>
      </c>
      <c r="I29" s="53" t="s">
        <v>231</v>
      </c>
      <c r="J29" s="50">
        <v>4</v>
      </c>
      <c r="K29" s="54" t="s">
        <v>110</v>
      </c>
      <c r="L29" s="53">
        <f>L32*H29/H32</f>
        <v>45153800791.63733</v>
      </c>
      <c r="M29" s="53" t="s">
        <v>232</v>
      </c>
      <c r="N29" s="96">
        <f t="shared" si="21"/>
        <v>4.78</v>
      </c>
      <c r="O29" s="49" t="s">
        <v>250</v>
      </c>
      <c r="P29" s="54">
        <f t="shared" si="23"/>
        <v>0.9902149296411695</v>
      </c>
      <c r="Q29" s="54" t="s">
        <v>13</v>
      </c>
      <c r="R29" s="68">
        <v>0.78</v>
      </c>
      <c r="S29" s="49" t="s">
        <v>4</v>
      </c>
      <c r="T29" s="68">
        <f t="shared" si="22"/>
        <v>4.78</v>
      </c>
      <c r="U29" s="54" t="s">
        <v>252</v>
      </c>
      <c r="V29" s="5">
        <v>2</v>
      </c>
      <c r="W29" s="4">
        <v>24</v>
      </c>
      <c r="AA29" s="4">
        <v>8</v>
      </c>
      <c r="AC29" s="4">
        <v>2</v>
      </c>
      <c r="AD29" s="4">
        <v>5</v>
      </c>
      <c r="AG29" s="5">
        <f t="shared" si="10"/>
        <v>1.8571300454902027</v>
      </c>
      <c r="AH29" s="5">
        <f t="shared" si="11"/>
        <v>0</v>
      </c>
      <c r="AI29" s="5">
        <f t="shared" si="12"/>
        <v>0</v>
      </c>
      <c r="AJ29" s="5">
        <f t="shared" si="13"/>
        <v>0</v>
      </c>
      <c r="AK29" s="5">
        <f t="shared" si="14"/>
        <v>49.55370534347526</v>
      </c>
      <c r="AL29" s="5">
        <f t="shared" si="15"/>
        <v>0</v>
      </c>
      <c r="AM29" s="5">
        <f t="shared" si="16"/>
        <v>11.561706588708988</v>
      </c>
      <c r="AN29" s="5">
        <f t="shared" si="17"/>
        <v>37.03230288867425</v>
      </c>
      <c r="AO29" s="5">
        <f t="shared" si="18"/>
        <v>0</v>
      </c>
      <c r="AQ29" s="4">
        <f t="shared" si="0"/>
        <v>2.016</v>
      </c>
      <c r="AR29" s="4">
        <f t="shared" si="1"/>
        <v>384</v>
      </c>
      <c r="AS29" s="4">
        <f t="shared" si="2"/>
        <v>0</v>
      </c>
      <c r="AT29" s="4">
        <f t="shared" si="3"/>
        <v>0</v>
      </c>
      <c r="AU29" s="4">
        <f t="shared" si="4"/>
        <v>0</v>
      </c>
      <c r="AV29" s="4">
        <f t="shared" si="5"/>
        <v>224.688</v>
      </c>
      <c r="AW29" s="4">
        <f t="shared" si="6"/>
        <v>0</v>
      </c>
      <c r="AX29" s="4">
        <f t="shared" si="7"/>
        <v>80.16</v>
      </c>
      <c r="AY29" s="4">
        <f t="shared" si="8"/>
        <v>279.235</v>
      </c>
      <c r="AZ29" s="4">
        <f t="shared" si="9"/>
        <v>0</v>
      </c>
      <c r="BA29" s="4">
        <f t="shared" si="19"/>
        <v>970.0989999999999</v>
      </c>
      <c r="BL29" s="151"/>
    </row>
    <row r="30" spans="1:64" ht="15.75">
      <c r="A30" s="21" t="s">
        <v>280</v>
      </c>
      <c r="B30" s="49">
        <v>815.436</v>
      </c>
      <c r="C30" s="96">
        <v>268</v>
      </c>
      <c r="D30" s="50">
        <v>3043</v>
      </c>
      <c r="E30" s="51">
        <v>2.2</v>
      </c>
      <c r="F30" s="52">
        <v>5.34E-05</v>
      </c>
      <c r="G30" s="52" t="s">
        <v>224</v>
      </c>
      <c r="H30" s="53">
        <v>76000000000</v>
      </c>
      <c r="I30" s="53" t="s">
        <v>231</v>
      </c>
      <c r="J30" s="50">
        <v>4</v>
      </c>
      <c r="K30" s="54" t="s">
        <v>110</v>
      </c>
      <c r="L30" s="53">
        <f>L32*H30/H32</f>
        <v>45153800791.63733</v>
      </c>
      <c r="M30" s="53" t="s">
        <v>232</v>
      </c>
      <c r="N30" s="96">
        <f t="shared" si="21"/>
        <v>4.76</v>
      </c>
      <c r="O30" s="49" t="s">
        <v>250</v>
      </c>
      <c r="P30" s="54">
        <f t="shared" si="23"/>
        <v>0.9902149296411695</v>
      </c>
      <c r="Q30" s="54" t="s">
        <v>13</v>
      </c>
      <c r="R30" s="68">
        <v>0.76</v>
      </c>
      <c r="S30" s="49" t="s">
        <v>4</v>
      </c>
      <c r="T30" s="68">
        <f t="shared" si="22"/>
        <v>4.76</v>
      </c>
      <c r="U30" s="54" t="s">
        <v>252</v>
      </c>
      <c r="V30" s="5">
        <v>2</v>
      </c>
      <c r="W30" s="4">
        <v>24</v>
      </c>
      <c r="Y30" s="4">
        <v>3</v>
      </c>
      <c r="Z30" s="4">
        <v>4</v>
      </c>
      <c r="AA30" s="4">
        <v>6</v>
      </c>
      <c r="AC30" s="4">
        <v>2</v>
      </c>
      <c r="AG30" s="5">
        <f t="shared" si="10"/>
        <v>2.2090451176865846</v>
      </c>
      <c r="AH30" s="5">
        <f t="shared" si="11"/>
        <v>0</v>
      </c>
      <c r="AI30" s="5">
        <f t="shared" si="12"/>
        <v>14.828656769124375</v>
      </c>
      <c r="AJ30" s="5">
        <f t="shared" si="13"/>
        <v>25.004782013742773</v>
      </c>
      <c r="AK30" s="5">
        <f t="shared" si="14"/>
        <v>44.207877815870404</v>
      </c>
      <c r="AL30" s="5">
        <f t="shared" si="15"/>
        <v>0</v>
      </c>
      <c r="AM30" s="5">
        <f t="shared" si="16"/>
        <v>13.752581061263728</v>
      </c>
      <c r="AN30" s="5">
        <f t="shared" si="17"/>
        <v>0</v>
      </c>
      <c r="AO30" s="5">
        <f t="shared" si="18"/>
        <v>0</v>
      </c>
      <c r="AQ30" s="4">
        <f t="shared" si="0"/>
        <v>2.016</v>
      </c>
      <c r="AR30" s="4">
        <f t="shared" si="1"/>
        <v>384</v>
      </c>
      <c r="AS30" s="4">
        <f t="shared" si="2"/>
        <v>0</v>
      </c>
      <c r="AT30" s="4">
        <f t="shared" si="3"/>
        <v>72.936</v>
      </c>
      <c r="AU30" s="4">
        <f t="shared" si="4"/>
        <v>107.928</v>
      </c>
      <c r="AV30" s="4">
        <f t="shared" si="5"/>
        <v>168.516</v>
      </c>
      <c r="AW30" s="4">
        <f t="shared" si="6"/>
        <v>0</v>
      </c>
      <c r="AX30" s="4">
        <f t="shared" si="7"/>
        <v>80.16</v>
      </c>
      <c r="AY30" s="4">
        <f t="shared" si="8"/>
        <v>0</v>
      </c>
      <c r="AZ30" s="4">
        <f t="shared" si="9"/>
        <v>0</v>
      </c>
      <c r="BA30" s="4">
        <f t="shared" si="19"/>
        <v>815.5559999999999</v>
      </c>
      <c r="BL30" s="151"/>
    </row>
    <row r="31" spans="1:64" ht="15.75">
      <c r="A31" s="21" t="s">
        <v>285</v>
      </c>
      <c r="B31" s="49">
        <v>835.769</v>
      </c>
      <c r="C31" s="96">
        <v>271.9</v>
      </c>
      <c r="D31" s="50">
        <v>3074</v>
      </c>
      <c r="E31" s="51">
        <v>2.2</v>
      </c>
      <c r="F31" s="52">
        <v>5.34E-05</v>
      </c>
      <c r="G31" s="52" t="s">
        <v>224</v>
      </c>
      <c r="H31" s="67">
        <v>97000000000</v>
      </c>
      <c r="I31" s="67" t="s">
        <v>230</v>
      </c>
      <c r="J31" s="97">
        <v>4</v>
      </c>
      <c r="K31" s="68" t="s">
        <v>230</v>
      </c>
      <c r="L31" s="67">
        <f>L32*H31/H32</f>
        <v>57630508905.116066</v>
      </c>
      <c r="M31" s="67" t="s">
        <v>232</v>
      </c>
      <c r="N31" s="96">
        <f t="shared" si="21"/>
        <v>4.9</v>
      </c>
      <c r="O31" s="49" t="s">
        <v>250</v>
      </c>
      <c r="P31" s="68">
        <f t="shared" si="23"/>
        <v>0.9902149296411695</v>
      </c>
      <c r="Q31" s="54" t="s">
        <v>13</v>
      </c>
      <c r="R31" s="68">
        <v>0.9</v>
      </c>
      <c r="S31" s="49" t="s">
        <v>4</v>
      </c>
      <c r="T31" s="68">
        <f t="shared" si="22"/>
        <v>4.9</v>
      </c>
      <c r="U31" s="54" t="s">
        <v>252</v>
      </c>
      <c r="V31" s="5">
        <v>2</v>
      </c>
      <c r="W31" s="4">
        <v>24</v>
      </c>
      <c r="X31" s="4">
        <v>1</v>
      </c>
      <c r="Y31" s="4">
        <v>4</v>
      </c>
      <c r="Z31" s="4">
        <v>3</v>
      </c>
      <c r="AA31" s="4">
        <v>6</v>
      </c>
      <c r="AC31" s="4">
        <v>2</v>
      </c>
      <c r="AG31" s="5">
        <f t="shared" si="10"/>
        <v>2.1553436155602026</v>
      </c>
      <c r="AH31" s="5">
        <f t="shared" si="11"/>
        <v>3.7074877134886037</v>
      </c>
      <c r="AI31" s="5">
        <f t="shared" si="12"/>
        <v>19.29089960711876</v>
      </c>
      <c r="AJ31" s="5">
        <f t="shared" si="13"/>
        <v>18.297690088003485</v>
      </c>
      <c r="AK31" s="5">
        <f t="shared" si="14"/>
        <v>43.1331920045557</v>
      </c>
      <c r="AL31" s="5">
        <f t="shared" si="15"/>
        <v>0</v>
      </c>
      <c r="AM31" s="5">
        <f t="shared" si="16"/>
        <v>13.418258210547977</v>
      </c>
      <c r="AN31" s="5">
        <f t="shared" si="17"/>
        <v>0</v>
      </c>
      <c r="AO31" s="5">
        <f t="shared" si="18"/>
        <v>0</v>
      </c>
      <c r="AQ31" s="4">
        <f t="shared" si="0"/>
        <v>2.016</v>
      </c>
      <c r="AR31" s="4">
        <f t="shared" si="1"/>
        <v>384</v>
      </c>
      <c r="AS31" s="4">
        <f t="shared" si="2"/>
        <v>22.99</v>
      </c>
      <c r="AT31" s="4">
        <f t="shared" si="3"/>
        <v>97.248</v>
      </c>
      <c r="AU31" s="4">
        <f t="shared" si="4"/>
        <v>80.946</v>
      </c>
      <c r="AV31" s="4">
        <f t="shared" si="5"/>
        <v>168.516</v>
      </c>
      <c r="AW31" s="4">
        <f t="shared" si="6"/>
        <v>0</v>
      </c>
      <c r="AX31" s="4">
        <f t="shared" si="7"/>
        <v>80.16</v>
      </c>
      <c r="AY31" s="4">
        <f t="shared" si="8"/>
        <v>0</v>
      </c>
      <c r="AZ31" s="4">
        <f t="shared" si="9"/>
        <v>0</v>
      </c>
      <c r="BA31" s="4">
        <f t="shared" si="19"/>
        <v>835.876</v>
      </c>
      <c r="BL31" s="151"/>
    </row>
    <row r="32" spans="1:64" ht="15.75">
      <c r="A32" s="21" t="s">
        <v>169</v>
      </c>
      <c r="B32" s="96">
        <f>AVERAGE(B29:B31)</f>
        <v>873.7583333333333</v>
      </c>
      <c r="C32" s="96">
        <f>AVERAGE(C29:C31)</f>
        <v>274.2333333333333</v>
      </c>
      <c r="D32" s="97">
        <f>AVERAGE(D29:D31)</f>
        <v>3182.3333333333335</v>
      </c>
      <c r="E32" s="96">
        <f>AVERAGE(E29:E31)</f>
        <v>2.1</v>
      </c>
      <c r="F32" s="98">
        <v>5.34E-05</v>
      </c>
      <c r="G32" s="67" t="s">
        <v>114</v>
      </c>
      <c r="H32" s="67">
        <f>AVERAGE(H29:H31)</f>
        <v>83000000000</v>
      </c>
      <c r="I32" s="67" t="s">
        <v>114</v>
      </c>
      <c r="J32" s="97">
        <f>AVERAGE(J29:J31)</f>
        <v>4</v>
      </c>
      <c r="K32" s="67" t="s">
        <v>114</v>
      </c>
      <c r="L32" s="67">
        <v>49312703496.13024</v>
      </c>
      <c r="M32" s="67" t="s">
        <v>114</v>
      </c>
      <c r="N32" s="96">
        <f>AVERAGE(N29:N31)</f>
        <v>4.8133333333333335</v>
      </c>
      <c r="O32" s="67" t="s">
        <v>114</v>
      </c>
      <c r="P32" s="68">
        <f>AVERAGE(P29:P31)</f>
        <v>0.9902149296411696</v>
      </c>
      <c r="Q32" s="67" t="s">
        <v>114</v>
      </c>
      <c r="R32" s="68">
        <f>AVERAGE(R29:R31)</f>
        <v>0.8133333333333334</v>
      </c>
      <c r="S32" s="67" t="s">
        <v>114</v>
      </c>
      <c r="T32" s="68">
        <f>AVERAGE(T29:T31)</f>
        <v>4.8133333333333335</v>
      </c>
      <c r="U32" s="67" t="s">
        <v>114</v>
      </c>
      <c r="V32" s="5">
        <v>2</v>
      </c>
      <c r="W32" s="4">
        <v>24</v>
      </c>
      <c r="X32" s="4">
        <v>1</v>
      </c>
      <c r="Y32" s="4">
        <v>2</v>
      </c>
      <c r="Z32" s="4">
        <v>3</v>
      </c>
      <c r="AA32" s="4">
        <v>6</v>
      </c>
      <c r="AC32" s="4">
        <v>2</v>
      </c>
      <c r="AD32" s="4">
        <v>2</v>
      </c>
      <c r="AG32" s="5">
        <f t="shared" si="10"/>
        <v>2.0041248306349884</v>
      </c>
      <c r="AH32" s="5">
        <f t="shared" si="11"/>
        <v>3.447370587332276</v>
      </c>
      <c r="AI32" s="5">
        <f t="shared" si="12"/>
        <v>8.968725596420697</v>
      </c>
      <c r="AJ32" s="5">
        <f t="shared" si="13"/>
        <v>17.013925196841637</v>
      </c>
      <c r="AK32" s="5">
        <f t="shared" si="14"/>
        <v>40.106969717869596</v>
      </c>
      <c r="AL32" s="5">
        <f t="shared" si="15"/>
        <v>0</v>
      </c>
      <c r="AM32" s="5">
        <f t="shared" si="16"/>
        <v>12.476833981129012</v>
      </c>
      <c r="AN32" s="5">
        <f t="shared" si="17"/>
        <v>15.985387331385867</v>
      </c>
      <c r="AO32" s="5">
        <f t="shared" si="18"/>
        <v>0</v>
      </c>
      <c r="AQ32" s="4">
        <f t="shared" si="0"/>
        <v>2.016</v>
      </c>
      <c r="AR32" s="4">
        <f t="shared" si="1"/>
        <v>384</v>
      </c>
      <c r="AS32" s="4">
        <f t="shared" si="2"/>
        <v>22.99</v>
      </c>
      <c r="AT32" s="4">
        <f t="shared" si="3"/>
        <v>48.624</v>
      </c>
      <c r="AU32" s="4">
        <f t="shared" si="4"/>
        <v>80.946</v>
      </c>
      <c r="AV32" s="4">
        <f t="shared" si="5"/>
        <v>168.516</v>
      </c>
      <c r="AW32" s="4">
        <f t="shared" si="6"/>
        <v>0</v>
      </c>
      <c r="AX32" s="4">
        <f t="shared" si="7"/>
        <v>80.16</v>
      </c>
      <c r="AY32" s="4">
        <f t="shared" si="8"/>
        <v>111.694</v>
      </c>
      <c r="AZ32" s="4">
        <f t="shared" si="9"/>
        <v>0</v>
      </c>
      <c r="BA32" s="4">
        <f t="shared" si="19"/>
        <v>898.9459999999999</v>
      </c>
      <c r="BL32" s="151"/>
    </row>
    <row r="33" spans="1:53" ht="15.75">
      <c r="A33" s="18" t="s">
        <v>157</v>
      </c>
      <c r="B33" s="49">
        <v>780.8</v>
      </c>
      <c r="C33" s="96">
        <v>265.4</v>
      </c>
      <c r="D33" s="51">
        <v>2942</v>
      </c>
      <c r="E33" s="49">
        <v>2.3</v>
      </c>
      <c r="F33" s="52">
        <v>5.34E-05</v>
      </c>
      <c r="G33" s="52" t="s">
        <v>224</v>
      </c>
      <c r="H33" s="53">
        <v>70000000000</v>
      </c>
      <c r="I33" s="53" t="s">
        <v>231</v>
      </c>
      <c r="J33" s="50">
        <v>4</v>
      </c>
      <c r="K33" s="54" t="s">
        <v>110</v>
      </c>
      <c r="L33" s="53">
        <f>L32*H33/H32</f>
        <v>41589027044.929115</v>
      </c>
      <c r="M33" s="53" t="s">
        <v>232</v>
      </c>
      <c r="N33" s="96">
        <f t="shared" si="21"/>
        <v>4.64</v>
      </c>
      <c r="O33" s="49" t="s">
        <v>250</v>
      </c>
      <c r="P33" s="54">
        <f t="shared" si="23"/>
        <v>0.9902149296411694</v>
      </c>
      <c r="Q33" s="54" t="s">
        <v>13</v>
      </c>
      <c r="R33" s="68">
        <v>0.64</v>
      </c>
      <c r="S33" s="49" t="s">
        <v>4</v>
      </c>
      <c r="T33" s="68">
        <f t="shared" si="22"/>
        <v>4.64</v>
      </c>
      <c r="U33" s="54" t="s">
        <v>252</v>
      </c>
      <c r="V33" s="5">
        <v>2</v>
      </c>
      <c r="W33" s="4">
        <v>24</v>
      </c>
      <c r="Y33" s="4">
        <v>7</v>
      </c>
      <c r="AA33" s="4">
        <v>8</v>
      </c>
      <c r="AG33" s="5">
        <f t="shared" si="10"/>
        <v>2.307117025745049</v>
      </c>
      <c r="AH33" s="5">
        <f t="shared" si="11"/>
        <v>0</v>
      </c>
      <c r="AI33" s="5">
        <f t="shared" si="12"/>
        <v>36.13629611416746</v>
      </c>
      <c r="AJ33" s="5">
        <f t="shared" si="13"/>
        <v>0</v>
      </c>
      <c r="AK33" s="5">
        <f t="shared" si="14"/>
        <v>61.56068475888988</v>
      </c>
      <c r="AL33" s="5">
        <f t="shared" si="15"/>
        <v>0</v>
      </c>
      <c r="AM33" s="5">
        <f t="shared" si="16"/>
        <v>0</v>
      </c>
      <c r="AN33" s="5">
        <f t="shared" si="17"/>
        <v>0</v>
      </c>
      <c r="AO33" s="5">
        <f t="shared" si="18"/>
        <v>0</v>
      </c>
      <c r="AQ33" s="4">
        <f t="shared" si="0"/>
        <v>2.016</v>
      </c>
      <c r="AR33" s="4">
        <f t="shared" si="1"/>
        <v>384</v>
      </c>
      <c r="AS33" s="4">
        <f t="shared" si="2"/>
        <v>0</v>
      </c>
      <c r="AT33" s="4">
        <f t="shared" si="3"/>
        <v>170.184</v>
      </c>
      <c r="AU33" s="4">
        <f t="shared" si="4"/>
        <v>0</v>
      </c>
      <c r="AV33" s="4">
        <f t="shared" si="5"/>
        <v>224.688</v>
      </c>
      <c r="AW33" s="4">
        <f t="shared" si="6"/>
        <v>0</v>
      </c>
      <c r="AX33" s="4">
        <f t="shared" si="7"/>
        <v>0</v>
      </c>
      <c r="AY33" s="4">
        <f t="shared" si="8"/>
        <v>0</v>
      </c>
      <c r="AZ33" s="4">
        <f t="shared" si="9"/>
        <v>0</v>
      </c>
      <c r="BA33" s="4">
        <f t="shared" si="19"/>
        <v>780.888</v>
      </c>
    </row>
    <row r="34" spans="1:53" ht="15.75">
      <c r="A34" s="21" t="s">
        <v>290</v>
      </c>
      <c r="B34" s="49">
        <v>417.24</v>
      </c>
      <c r="C34" s="96">
        <v>149.7</v>
      </c>
      <c r="D34" s="50">
        <v>2788</v>
      </c>
      <c r="E34" s="51">
        <v>4.5</v>
      </c>
      <c r="F34" s="52">
        <v>5.79E-05</v>
      </c>
      <c r="G34" s="52" t="s">
        <v>224</v>
      </c>
      <c r="H34" s="67">
        <v>49700000000</v>
      </c>
      <c r="I34" s="67" t="s">
        <v>322</v>
      </c>
      <c r="J34" s="68">
        <v>8.59</v>
      </c>
      <c r="K34" s="67" t="s">
        <v>322</v>
      </c>
      <c r="L34" s="67">
        <f>(3*H34-6*H34*0.27)/(2*0.27+2)</f>
        <v>27002362204.724407</v>
      </c>
      <c r="M34" s="67" t="s">
        <v>115</v>
      </c>
      <c r="N34" s="96">
        <f t="shared" si="21"/>
        <v>9.18</v>
      </c>
      <c r="O34" s="49" t="s">
        <v>250</v>
      </c>
      <c r="P34" s="68">
        <f t="shared" si="23"/>
        <v>0.905511811023622</v>
      </c>
      <c r="Q34" s="54" t="s">
        <v>13</v>
      </c>
      <c r="R34" s="68">
        <v>0.59</v>
      </c>
      <c r="S34" s="49" t="s">
        <v>4</v>
      </c>
      <c r="T34" s="68">
        <f t="shared" si="22"/>
        <v>9.18</v>
      </c>
      <c r="U34" s="54" t="s">
        <v>252</v>
      </c>
      <c r="V34" s="5">
        <v>2</v>
      </c>
      <c r="W34" s="4">
        <v>12</v>
      </c>
      <c r="Y34" s="4">
        <v>3</v>
      </c>
      <c r="Z34" s="4">
        <v>1</v>
      </c>
      <c r="AA34" s="4">
        <v>3</v>
      </c>
      <c r="AB34" s="4">
        <v>1</v>
      </c>
      <c r="AG34" s="5">
        <f t="shared" si="10"/>
        <v>4.317339813177281</v>
      </c>
      <c r="AH34" s="5">
        <f t="shared" si="11"/>
        <v>0</v>
      </c>
      <c r="AI34" s="5">
        <f t="shared" si="12"/>
        <v>28.981006197069693</v>
      </c>
      <c r="AJ34" s="5">
        <f t="shared" si="13"/>
        <v>12.217285654718259</v>
      </c>
      <c r="AK34" s="5">
        <f t="shared" si="14"/>
        <v>43.199758443687195</v>
      </c>
      <c r="AL34" s="5">
        <f t="shared" si="15"/>
        <v>11.287485561738249</v>
      </c>
      <c r="AM34" s="5">
        <f t="shared" si="16"/>
        <v>0</v>
      </c>
      <c r="AN34" s="5">
        <f t="shared" si="17"/>
        <v>0</v>
      </c>
      <c r="AO34" s="5">
        <f t="shared" si="18"/>
        <v>0</v>
      </c>
      <c r="AQ34" s="4">
        <f t="shared" si="0"/>
        <v>2.016</v>
      </c>
      <c r="AR34" s="4">
        <f t="shared" si="1"/>
        <v>192</v>
      </c>
      <c r="AS34" s="4">
        <f t="shared" si="2"/>
        <v>0</v>
      </c>
      <c r="AT34" s="4">
        <f t="shared" si="3"/>
        <v>72.936</v>
      </c>
      <c r="AU34" s="4">
        <f t="shared" si="4"/>
        <v>26.982</v>
      </c>
      <c r="AV34" s="4">
        <f t="shared" si="5"/>
        <v>84.258</v>
      </c>
      <c r="AW34" s="4">
        <f t="shared" si="6"/>
        <v>39.102</v>
      </c>
      <c r="AX34" s="4">
        <f t="shared" si="7"/>
        <v>0</v>
      </c>
      <c r="AY34" s="4">
        <f t="shared" si="8"/>
        <v>0</v>
      </c>
      <c r="AZ34" s="4">
        <f t="shared" si="9"/>
        <v>0</v>
      </c>
      <c r="BA34" s="4">
        <f t="shared" si="19"/>
        <v>417.2939999999999</v>
      </c>
    </row>
    <row r="35" spans="1:53" ht="15.75">
      <c r="A35" s="21" t="s">
        <v>274</v>
      </c>
      <c r="B35" s="49">
        <v>511.866</v>
      </c>
      <c r="C35" s="96">
        <v>154.3</v>
      </c>
      <c r="D35" s="50">
        <v>3317</v>
      </c>
      <c r="E35" s="51">
        <v>3.5</v>
      </c>
      <c r="F35" s="52">
        <v>5.79E-05</v>
      </c>
      <c r="G35" s="52" t="s">
        <v>224</v>
      </c>
      <c r="H35" s="67">
        <f>H34</f>
        <v>49700000000</v>
      </c>
      <c r="I35" s="67" t="s">
        <v>235</v>
      </c>
      <c r="J35" s="68">
        <f>8.1-(J34-8.1)</f>
        <v>7.609999999999999</v>
      </c>
      <c r="K35" s="67" t="s">
        <v>641</v>
      </c>
      <c r="L35" s="67">
        <f>(3*H35-6*H35*0.27)/(2*0.27+2)</f>
        <v>27002362204.724407</v>
      </c>
      <c r="M35" s="67" t="s">
        <v>235</v>
      </c>
      <c r="N35" s="96">
        <f t="shared" si="21"/>
        <v>8.2</v>
      </c>
      <c r="O35" s="49" t="s">
        <v>250</v>
      </c>
      <c r="P35" s="68">
        <f t="shared" si="23"/>
        <v>0.905511811023622</v>
      </c>
      <c r="Q35" s="54" t="s">
        <v>13</v>
      </c>
      <c r="R35" s="68">
        <v>0.59</v>
      </c>
      <c r="S35" s="49" t="s">
        <v>4</v>
      </c>
      <c r="T35" s="68">
        <f t="shared" si="22"/>
        <v>8.2</v>
      </c>
      <c r="U35" s="54" t="s">
        <v>252</v>
      </c>
      <c r="V35" s="5">
        <v>2</v>
      </c>
      <c r="W35" s="4">
        <v>12</v>
      </c>
      <c r="Z35" s="4">
        <v>1</v>
      </c>
      <c r="AA35" s="4">
        <v>3</v>
      </c>
      <c r="AB35" s="4">
        <v>1</v>
      </c>
      <c r="AD35" s="4">
        <v>3</v>
      </c>
      <c r="AG35" s="5">
        <f t="shared" si="10"/>
        <v>3.5194442653726616</v>
      </c>
      <c r="AH35" s="5">
        <f t="shared" si="11"/>
        <v>0</v>
      </c>
      <c r="AI35" s="5">
        <f t="shared" si="12"/>
        <v>0</v>
      </c>
      <c r="AJ35" s="5">
        <f t="shared" si="13"/>
        <v>9.959386519606408</v>
      </c>
      <c r="AK35" s="5">
        <f t="shared" si="14"/>
        <v>35.21593126769148</v>
      </c>
      <c r="AL35" s="5">
        <f t="shared" si="15"/>
        <v>9.201424499754834</v>
      </c>
      <c r="AM35" s="5">
        <f t="shared" si="16"/>
        <v>0</v>
      </c>
      <c r="AN35" s="5">
        <f t="shared" si="17"/>
        <v>42.10791581933155</v>
      </c>
      <c r="AO35" s="5">
        <f t="shared" si="18"/>
        <v>0</v>
      </c>
      <c r="AQ35" s="4">
        <f t="shared" si="0"/>
        <v>2.016</v>
      </c>
      <c r="AR35" s="4">
        <f t="shared" si="1"/>
        <v>192</v>
      </c>
      <c r="AS35" s="4">
        <f t="shared" si="2"/>
        <v>0</v>
      </c>
      <c r="AT35" s="4">
        <f t="shared" si="3"/>
        <v>0</v>
      </c>
      <c r="AU35" s="4">
        <f t="shared" si="4"/>
        <v>26.982</v>
      </c>
      <c r="AV35" s="4">
        <f t="shared" si="5"/>
        <v>84.258</v>
      </c>
      <c r="AW35" s="4">
        <f t="shared" si="6"/>
        <v>39.102</v>
      </c>
      <c r="AX35" s="4">
        <f t="shared" si="7"/>
        <v>0</v>
      </c>
      <c r="AY35" s="4">
        <f t="shared" si="8"/>
        <v>167.541</v>
      </c>
      <c r="AZ35" s="4">
        <f t="shared" si="9"/>
        <v>0</v>
      </c>
      <c r="BA35" s="4">
        <f t="shared" si="19"/>
        <v>511.89899999999994</v>
      </c>
    </row>
    <row r="36" spans="1:53" ht="15.75">
      <c r="A36" s="21" t="s">
        <v>336</v>
      </c>
      <c r="B36" s="49">
        <v>398.248</v>
      </c>
      <c r="C36" s="96">
        <v>140.8</v>
      </c>
      <c r="D36" s="50">
        <v>2828</v>
      </c>
      <c r="E36" s="51">
        <v>4.5</v>
      </c>
      <c r="F36" s="52">
        <v>5.96E-05</v>
      </c>
      <c r="G36" s="52" t="s">
        <v>224</v>
      </c>
      <c r="H36" s="67">
        <v>59400000000</v>
      </c>
      <c r="I36" s="67" t="s">
        <v>670</v>
      </c>
      <c r="J36" s="50">
        <v>4</v>
      </c>
      <c r="K36" s="54" t="s">
        <v>254</v>
      </c>
      <c r="L36" s="67">
        <v>36800000000</v>
      </c>
      <c r="M36" s="67" t="s">
        <v>670</v>
      </c>
      <c r="N36" s="96">
        <f t="shared" si="21"/>
        <v>4.5600000000000005</v>
      </c>
      <c r="O36" s="49" t="s">
        <v>250</v>
      </c>
      <c r="P36" s="54">
        <f t="shared" si="23"/>
        <v>1.0325476992143658</v>
      </c>
      <c r="Q36" s="54" t="s">
        <v>13</v>
      </c>
      <c r="R36" s="68">
        <v>0.56</v>
      </c>
      <c r="S36" s="49" t="s">
        <v>4</v>
      </c>
      <c r="T36" s="68">
        <f t="shared" si="22"/>
        <v>4.5600000000000005</v>
      </c>
      <c r="U36" s="54" t="s">
        <v>252</v>
      </c>
      <c r="V36" s="5">
        <v>2</v>
      </c>
      <c r="W36" s="4">
        <v>12</v>
      </c>
      <c r="Z36" s="4">
        <v>3</v>
      </c>
      <c r="AA36" s="4">
        <v>3</v>
      </c>
      <c r="AB36" s="4">
        <v>1</v>
      </c>
      <c r="AG36" s="5">
        <f t="shared" si="10"/>
        <v>4.5229738754073345</v>
      </c>
      <c r="AH36" s="5">
        <f t="shared" si="11"/>
        <v>0</v>
      </c>
      <c r="AI36" s="5">
        <f t="shared" si="12"/>
        <v>0</v>
      </c>
      <c r="AJ36" s="5">
        <f t="shared" si="13"/>
        <v>38.39757783903476</v>
      </c>
      <c r="AK36" s="5">
        <f t="shared" si="14"/>
        <v>45.25735460255773</v>
      </c>
      <c r="AL36" s="5">
        <f t="shared" si="15"/>
        <v>11.825106321016666</v>
      </c>
      <c r="AM36" s="5">
        <f t="shared" si="16"/>
        <v>0</v>
      </c>
      <c r="AN36" s="5">
        <f t="shared" si="17"/>
        <v>0</v>
      </c>
      <c r="AO36" s="5">
        <f t="shared" si="18"/>
        <v>0</v>
      </c>
      <c r="AQ36" s="4">
        <f t="shared" si="0"/>
        <v>2.016</v>
      </c>
      <c r="AR36" s="4">
        <f t="shared" si="1"/>
        <v>192</v>
      </c>
      <c r="AS36" s="4">
        <f t="shared" si="2"/>
        <v>0</v>
      </c>
      <c r="AT36" s="4">
        <f t="shared" si="3"/>
        <v>0</v>
      </c>
      <c r="AU36" s="4">
        <f t="shared" si="4"/>
        <v>80.946</v>
      </c>
      <c r="AV36" s="4">
        <f t="shared" si="5"/>
        <v>84.258</v>
      </c>
      <c r="AW36" s="4">
        <f t="shared" si="6"/>
        <v>39.102</v>
      </c>
      <c r="AX36" s="4">
        <f t="shared" si="7"/>
        <v>0</v>
      </c>
      <c r="AY36" s="4">
        <f t="shared" si="8"/>
        <v>0</v>
      </c>
      <c r="AZ36" s="4">
        <f t="shared" si="9"/>
        <v>0</v>
      </c>
      <c r="BA36" s="4">
        <f t="shared" si="19"/>
        <v>398.32199999999995</v>
      </c>
    </row>
    <row r="37" spans="1:53" ht="15.75">
      <c r="A37" s="21" t="s">
        <v>256</v>
      </c>
      <c r="B37" s="49">
        <v>396.74</v>
      </c>
      <c r="C37" s="96">
        <v>140.4</v>
      </c>
      <c r="D37" s="50">
        <v>2825.7834757834758</v>
      </c>
      <c r="E37" s="51">
        <v>4.5</v>
      </c>
      <c r="F37" s="52">
        <v>5.96E-05</v>
      </c>
      <c r="G37" s="52" t="s">
        <v>224</v>
      </c>
      <c r="H37" s="67">
        <v>65000000000</v>
      </c>
      <c r="I37" s="67" t="s">
        <v>506</v>
      </c>
      <c r="J37" s="50">
        <v>9</v>
      </c>
      <c r="K37" s="53" t="s">
        <v>257</v>
      </c>
      <c r="L37" s="67">
        <f>(3*H37-6*H37*0.249)/(2*0.249+2)</f>
        <v>39187349879.90392</v>
      </c>
      <c r="M37" s="67" t="s">
        <v>609</v>
      </c>
      <c r="N37" s="96">
        <v>9.52</v>
      </c>
      <c r="O37" s="49" t="s">
        <v>250</v>
      </c>
      <c r="P37" s="54">
        <f t="shared" si="23"/>
        <v>1.0048038430744597</v>
      </c>
      <c r="Q37" s="54" t="s">
        <v>13</v>
      </c>
      <c r="R37" s="68">
        <v>0.57</v>
      </c>
      <c r="S37" s="49" t="s">
        <v>4</v>
      </c>
      <c r="T37" s="68">
        <v>9.52</v>
      </c>
      <c r="U37" s="54" t="s">
        <v>252</v>
      </c>
      <c r="V37" s="5">
        <v>2</v>
      </c>
      <c r="W37" s="4">
        <v>12</v>
      </c>
      <c r="Y37" s="4">
        <v>1</v>
      </c>
      <c r="Z37" s="4">
        <v>1</v>
      </c>
      <c r="AA37" s="4">
        <v>4</v>
      </c>
      <c r="AB37" s="4">
        <v>1</v>
      </c>
      <c r="AG37" s="5">
        <f t="shared" si="10"/>
        <v>4.54082609966831</v>
      </c>
      <c r="AH37" s="5">
        <f t="shared" si="11"/>
        <v>0</v>
      </c>
      <c r="AI37" s="5">
        <f t="shared" si="12"/>
        <v>10.160400850900805</v>
      </c>
      <c r="AJ37" s="5">
        <f t="shared" si="13"/>
        <v>12.849711157487222</v>
      </c>
      <c r="AK37" s="5">
        <f t="shared" si="14"/>
        <v>60.581314460272814</v>
      </c>
      <c r="AL37" s="5">
        <f t="shared" si="15"/>
        <v>11.871780136910344</v>
      </c>
      <c r="AM37" s="5">
        <f t="shared" si="16"/>
        <v>0</v>
      </c>
      <c r="AN37" s="5">
        <f t="shared" si="17"/>
        <v>0</v>
      </c>
      <c r="AO37" s="5">
        <f t="shared" si="18"/>
        <v>0</v>
      </c>
      <c r="AQ37" s="4">
        <f t="shared" si="0"/>
        <v>2.016</v>
      </c>
      <c r="AR37" s="4">
        <f t="shared" si="1"/>
        <v>192</v>
      </c>
      <c r="AS37" s="4">
        <f t="shared" si="2"/>
        <v>0</v>
      </c>
      <c r="AT37" s="4">
        <f t="shared" si="3"/>
        <v>24.312</v>
      </c>
      <c r="AU37" s="4">
        <f t="shared" si="4"/>
        <v>26.982</v>
      </c>
      <c r="AV37" s="4">
        <f t="shared" si="5"/>
        <v>112.344</v>
      </c>
      <c r="AW37" s="4">
        <f t="shared" si="6"/>
        <v>39.102</v>
      </c>
      <c r="AX37" s="4">
        <f t="shared" si="7"/>
        <v>0</v>
      </c>
      <c r="AY37" s="4">
        <f t="shared" si="8"/>
        <v>0</v>
      </c>
      <c r="AZ37" s="4">
        <f t="shared" si="9"/>
        <v>0</v>
      </c>
      <c r="BA37" s="4">
        <f t="shared" si="19"/>
        <v>396.756</v>
      </c>
    </row>
    <row r="38" spans="1:53" ht="15.75">
      <c r="A38" s="21" t="s">
        <v>163</v>
      </c>
      <c r="B38" s="49">
        <v>379.65</v>
      </c>
      <c r="C38" s="96">
        <v>136.4</v>
      </c>
      <c r="D38" s="50">
        <v>2784</v>
      </c>
      <c r="E38" s="51">
        <v>4.8</v>
      </c>
      <c r="F38" s="52">
        <v>3.7E-05</v>
      </c>
      <c r="G38" s="52" t="s">
        <v>224</v>
      </c>
      <c r="H38" s="67">
        <v>55500000000</v>
      </c>
      <c r="I38" s="67" t="s">
        <v>612</v>
      </c>
      <c r="J38" s="100">
        <v>5.2</v>
      </c>
      <c r="K38" s="67" t="s">
        <v>612</v>
      </c>
      <c r="L38" s="67">
        <v>47300000000</v>
      </c>
      <c r="M38" s="67" t="s">
        <v>612</v>
      </c>
      <c r="N38" s="96">
        <f aca="true" t="shared" si="24" ref="N38:N47">T38</f>
        <v>5.54</v>
      </c>
      <c r="O38" s="49" t="s">
        <v>250</v>
      </c>
      <c r="P38" s="68">
        <v>2.8</v>
      </c>
      <c r="Q38" s="68" t="s">
        <v>612</v>
      </c>
      <c r="R38" s="68">
        <v>0.34</v>
      </c>
      <c r="S38" s="49" t="s">
        <v>4</v>
      </c>
      <c r="T38" s="68">
        <f aca="true" t="shared" si="25" ref="T38:T49">R38+J38</f>
        <v>5.54</v>
      </c>
      <c r="U38" s="54" t="s">
        <v>252</v>
      </c>
      <c r="V38" s="5">
        <v>2</v>
      </c>
      <c r="W38" s="4">
        <v>12</v>
      </c>
      <c r="Y38" s="4">
        <v>3</v>
      </c>
      <c r="AA38" s="4">
        <v>4</v>
      </c>
      <c r="AG38" s="5">
        <f t="shared" si="10"/>
        <v>4.749852358052814</v>
      </c>
      <c r="AH38" s="5">
        <f t="shared" si="11"/>
        <v>0</v>
      </c>
      <c r="AI38" s="5">
        <f t="shared" si="12"/>
        <v>31.88433308023285</v>
      </c>
      <c r="AJ38" s="5">
        <f t="shared" si="13"/>
        <v>0</v>
      </c>
      <c r="AK38" s="5">
        <f t="shared" si="14"/>
        <v>63.370032903062516</v>
      </c>
      <c r="AL38" s="5">
        <f t="shared" si="15"/>
        <v>0</v>
      </c>
      <c r="AM38" s="5">
        <f t="shared" si="16"/>
        <v>0</v>
      </c>
      <c r="AN38" s="5">
        <f t="shared" si="17"/>
        <v>0</v>
      </c>
      <c r="AO38" s="5">
        <f t="shared" si="18"/>
        <v>0</v>
      </c>
      <c r="AQ38" s="4">
        <f t="shared" si="0"/>
        <v>2.016</v>
      </c>
      <c r="AR38" s="4">
        <f t="shared" si="1"/>
        <v>192</v>
      </c>
      <c r="AS38" s="4">
        <f t="shared" si="2"/>
        <v>0</v>
      </c>
      <c r="AT38" s="4">
        <f t="shared" si="3"/>
        <v>72.936</v>
      </c>
      <c r="AU38" s="4">
        <f t="shared" si="4"/>
        <v>0</v>
      </c>
      <c r="AV38" s="4">
        <f t="shared" si="5"/>
        <v>112.344</v>
      </c>
      <c r="AW38" s="4">
        <f t="shared" si="6"/>
        <v>0</v>
      </c>
      <c r="AX38" s="4">
        <f t="shared" si="7"/>
        <v>0</v>
      </c>
      <c r="AY38" s="4">
        <f t="shared" si="8"/>
        <v>0</v>
      </c>
      <c r="AZ38" s="4">
        <f t="shared" si="9"/>
        <v>0</v>
      </c>
      <c r="BA38" s="4">
        <f t="shared" si="19"/>
        <v>379.296</v>
      </c>
    </row>
    <row r="39" spans="1:53" ht="15.75">
      <c r="A39" s="21" t="s">
        <v>269</v>
      </c>
      <c r="B39" s="49">
        <v>555.575</v>
      </c>
      <c r="C39" s="96">
        <v>210.8</v>
      </c>
      <c r="D39" s="50">
        <v>2635</v>
      </c>
      <c r="E39" s="51">
        <v>13</v>
      </c>
      <c r="F39" s="52">
        <v>3.98E-05</v>
      </c>
      <c r="G39" s="52" t="s">
        <v>224</v>
      </c>
      <c r="H39" s="67">
        <v>77900000000</v>
      </c>
      <c r="I39" s="67" t="s">
        <v>327</v>
      </c>
      <c r="J39" s="50">
        <v>4</v>
      </c>
      <c r="K39" s="67" t="s">
        <v>327</v>
      </c>
      <c r="L39" s="67">
        <v>33800000000</v>
      </c>
      <c r="M39" s="67" t="s">
        <v>516</v>
      </c>
      <c r="N39" s="96">
        <f t="shared" si="24"/>
        <v>4.32</v>
      </c>
      <c r="O39" s="49" t="s">
        <v>250</v>
      </c>
      <c r="P39" s="54">
        <f aca="true" t="shared" si="26" ref="P39:P59">(5*L39)/(3*H39)</f>
        <v>0.7231493367565255</v>
      </c>
      <c r="Q39" s="54" t="s">
        <v>13</v>
      </c>
      <c r="R39" s="68">
        <v>0.32</v>
      </c>
      <c r="S39" s="49" t="s">
        <v>4</v>
      </c>
      <c r="T39" s="68">
        <f t="shared" si="25"/>
        <v>4.32</v>
      </c>
      <c r="U39" s="54" t="s">
        <v>252</v>
      </c>
      <c r="V39" s="5">
        <v>8</v>
      </c>
      <c r="W39" s="4">
        <v>18</v>
      </c>
      <c r="Y39" s="4">
        <v>5</v>
      </c>
      <c r="Z39" s="4">
        <v>2</v>
      </c>
      <c r="AA39" s="4">
        <v>3</v>
      </c>
      <c r="AG39" s="5">
        <f t="shared" si="10"/>
        <v>12.964742032865217</v>
      </c>
      <c r="AH39" s="5">
        <f t="shared" si="11"/>
        <v>0</v>
      </c>
      <c r="AI39" s="5">
        <f t="shared" si="12"/>
        <v>36.26184230884094</v>
      </c>
      <c r="AJ39" s="5">
        <f t="shared" si="13"/>
        <v>18.343929793503957</v>
      </c>
      <c r="AK39" s="5">
        <f t="shared" si="14"/>
        <v>32.43164473613195</v>
      </c>
      <c r="AL39" s="5">
        <f t="shared" si="15"/>
        <v>0</v>
      </c>
      <c r="AM39" s="5">
        <f t="shared" si="16"/>
        <v>0</v>
      </c>
      <c r="AN39" s="5">
        <f t="shared" si="17"/>
        <v>0</v>
      </c>
      <c r="AO39" s="5">
        <f t="shared" si="18"/>
        <v>0</v>
      </c>
      <c r="AQ39" s="4">
        <f t="shared" si="0"/>
        <v>8.064</v>
      </c>
      <c r="AR39" s="4">
        <f t="shared" si="1"/>
        <v>288</v>
      </c>
      <c r="AS39" s="4">
        <f t="shared" si="2"/>
        <v>0</v>
      </c>
      <c r="AT39" s="4">
        <f t="shared" si="3"/>
        <v>121.56</v>
      </c>
      <c r="AU39" s="4">
        <f t="shared" si="4"/>
        <v>53.964</v>
      </c>
      <c r="AV39" s="4">
        <f t="shared" si="5"/>
        <v>84.258</v>
      </c>
      <c r="AW39" s="4">
        <f t="shared" si="6"/>
        <v>0</v>
      </c>
      <c r="AX39" s="4">
        <f t="shared" si="7"/>
        <v>0</v>
      </c>
      <c r="AY39" s="4">
        <f t="shared" si="8"/>
        <v>0</v>
      </c>
      <c r="AZ39" s="4">
        <f t="shared" si="9"/>
        <v>0</v>
      </c>
      <c r="BA39" s="4">
        <f t="shared" si="19"/>
        <v>555.846</v>
      </c>
    </row>
    <row r="40" spans="1:53" ht="15.75">
      <c r="A40" s="21" t="s">
        <v>270</v>
      </c>
      <c r="B40" s="49">
        <v>713.46698</v>
      </c>
      <c r="C40" s="96">
        <v>213.4</v>
      </c>
      <c r="D40" s="50">
        <v>3343</v>
      </c>
      <c r="E40" s="51">
        <v>10.1</v>
      </c>
      <c r="F40" s="52">
        <v>3.98E-05</v>
      </c>
      <c r="G40" s="52" t="s">
        <v>224</v>
      </c>
      <c r="H40" s="67">
        <f>H39</f>
        <v>77900000000</v>
      </c>
      <c r="I40" s="67" t="s">
        <v>255</v>
      </c>
      <c r="J40" s="50">
        <v>4</v>
      </c>
      <c r="K40" s="54" t="s">
        <v>110</v>
      </c>
      <c r="L40" s="67">
        <f>L39</f>
        <v>33800000000</v>
      </c>
      <c r="M40" s="53" t="s">
        <v>255</v>
      </c>
      <c r="N40" s="96">
        <f t="shared" si="24"/>
        <v>4.31</v>
      </c>
      <c r="O40" s="49" t="s">
        <v>250</v>
      </c>
      <c r="P40" s="54">
        <f t="shared" si="26"/>
        <v>0.7231493367565255</v>
      </c>
      <c r="Q40" s="54" t="s">
        <v>13</v>
      </c>
      <c r="R40" s="68">
        <v>0.31</v>
      </c>
      <c r="S40" s="49" t="s">
        <v>4</v>
      </c>
      <c r="T40" s="68">
        <f t="shared" si="25"/>
        <v>4.31</v>
      </c>
      <c r="U40" s="54" t="s">
        <v>252</v>
      </c>
      <c r="V40" s="5">
        <v>8</v>
      </c>
      <c r="W40" s="4">
        <v>18</v>
      </c>
      <c r="Z40" s="4">
        <v>2</v>
      </c>
      <c r="AA40" s="4">
        <v>3</v>
      </c>
      <c r="AD40" s="4">
        <v>5</v>
      </c>
      <c r="AG40" s="5">
        <f t="shared" si="10"/>
        <v>10.099772816777643</v>
      </c>
      <c r="AH40" s="5">
        <f t="shared" si="11"/>
        <v>0</v>
      </c>
      <c r="AI40" s="5">
        <f t="shared" si="12"/>
        <v>0</v>
      </c>
      <c r="AJ40" s="5">
        <f t="shared" si="13"/>
        <v>14.29025915144754</v>
      </c>
      <c r="AK40" s="5">
        <f t="shared" si="14"/>
        <v>25.264848546854264</v>
      </c>
      <c r="AL40" s="5">
        <f t="shared" si="15"/>
        <v>0</v>
      </c>
      <c r="AM40" s="5">
        <f t="shared" si="16"/>
        <v>0</v>
      </c>
      <c r="AN40" s="5">
        <f t="shared" si="17"/>
        <v>50.34890353612578</v>
      </c>
      <c r="AO40" s="5">
        <f t="shared" si="18"/>
        <v>0</v>
      </c>
      <c r="AQ40" s="4">
        <f aca="true" t="shared" si="27" ref="AQ40:AQ59">V40*atwtH</f>
        <v>8.064</v>
      </c>
      <c r="AR40" s="4">
        <f aca="true" t="shared" si="28" ref="AR40:AR59">W40*atwtO</f>
        <v>288</v>
      </c>
      <c r="AS40" s="4">
        <f aca="true" t="shared" si="29" ref="AS40:AS59">X40*atwtNa</f>
        <v>0</v>
      </c>
      <c r="AT40" s="4">
        <f aca="true" t="shared" si="30" ref="AT40:AT59">Y40*atwtMg</f>
        <v>0</v>
      </c>
      <c r="AU40" s="4">
        <f aca="true" t="shared" si="31" ref="AU40:AU59">Z40*atwtAl</f>
        <v>53.964</v>
      </c>
      <c r="AV40" s="4">
        <f aca="true" t="shared" si="32" ref="AV40:AV59">AA40*atwtSi</f>
        <v>84.258</v>
      </c>
      <c r="AW40" s="4">
        <f aca="true" t="shared" si="33" ref="AW40:AW59">AB40*atwtK</f>
        <v>0</v>
      </c>
      <c r="AX40" s="4">
        <f aca="true" t="shared" si="34" ref="AX40:AX59">AC40*atwtCa</f>
        <v>0</v>
      </c>
      <c r="AY40" s="4">
        <f aca="true" t="shared" si="35" ref="AY40:AY59">AD40*atwtFe</f>
        <v>279.235</v>
      </c>
      <c r="AZ40" s="4">
        <f aca="true" t="shared" si="36" ref="AZ40:AZ59">AE40*atwtC</f>
        <v>0</v>
      </c>
      <c r="BA40" s="4">
        <f t="shared" si="19"/>
        <v>713.521</v>
      </c>
    </row>
    <row r="41" spans="1:53" ht="15.75">
      <c r="A41" s="21" t="s">
        <v>172</v>
      </c>
      <c r="B41" s="50">
        <v>4535.95</v>
      </c>
      <c r="C41" s="97">
        <v>1754</v>
      </c>
      <c r="D41" s="50">
        <v>2585</v>
      </c>
      <c r="E41" s="51">
        <v>12.3</v>
      </c>
      <c r="F41" s="52">
        <v>4.7E-05</v>
      </c>
      <c r="G41" s="52" t="s">
        <v>224</v>
      </c>
      <c r="H41" s="67">
        <v>62900000000</v>
      </c>
      <c r="I41" s="67" t="s">
        <v>660</v>
      </c>
      <c r="J41" s="96">
        <v>6.1</v>
      </c>
      <c r="K41" s="67" t="s">
        <v>660</v>
      </c>
      <c r="L41" s="67">
        <v>38500000000</v>
      </c>
      <c r="M41" s="67" t="s">
        <v>633</v>
      </c>
      <c r="N41" s="96">
        <f t="shared" si="24"/>
        <v>6.84</v>
      </c>
      <c r="O41" s="49" t="s">
        <v>250</v>
      </c>
      <c r="P41" s="68">
        <f t="shared" si="26"/>
        <v>1.0201377848436672</v>
      </c>
      <c r="Q41" s="54" t="s">
        <v>13</v>
      </c>
      <c r="R41" s="68">
        <v>0.74</v>
      </c>
      <c r="S41" s="96" t="s">
        <v>633</v>
      </c>
      <c r="T41" s="68">
        <f t="shared" si="25"/>
        <v>6.84</v>
      </c>
      <c r="U41" s="54" t="s">
        <v>252</v>
      </c>
      <c r="V41" s="5">
        <v>62</v>
      </c>
      <c r="W41" s="4">
        <v>147</v>
      </c>
      <c r="Y41" s="4">
        <v>48</v>
      </c>
      <c r="AA41" s="4">
        <v>34</v>
      </c>
      <c r="AG41" s="5">
        <f>100*V41*oxideH/$BA41</f>
        <v>12.311447236969608</v>
      </c>
      <c r="AH41" s="5">
        <f>100*X41*oxideNa/$BA41</f>
        <v>0</v>
      </c>
      <c r="AI41" s="5">
        <f>100*Y41*oxideMg/$BA41</f>
        <v>42.654477254631196</v>
      </c>
      <c r="AJ41" s="5">
        <f>100*Z41*oxideAl/$BA41</f>
        <v>0</v>
      </c>
      <c r="AK41" s="5">
        <f>100*AA41*oxideSi/$BA41</f>
        <v>45.0370734830028</v>
      </c>
      <c r="AL41" s="5">
        <f>100*AB41*oxideK/$BA41</f>
        <v>0</v>
      </c>
      <c r="AM41" s="5">
        <f>100*AC41*oxideCa/$BA41</f>
        <v>0</v>
      </c>
      <c r="AN41" s="5">
        <f>100*AD41*oxideFe/$BA41</f>
        <v>0</v>
      </c>
      <c r="AO41" s="5">
        <f>100*AE41*oxideC/$BA41</f>
        <v>0</v>
      </c>
      <c r="AQ41" s="4">
        <f>V41*atwtH</f>
        <v>62.496</v>
      </c>
      <c r="AR41" s="4">
        <f>W41*atwtO</f>
        <v>2352</v>
      </c>
      <c r="AS41" s="4">
        <f>X41*atwtNa</f>
        <v>0</v>
      </c>
      <c r="AT41" s="4">
        <f>Y41*atwtMg</f>
        <v>1166.976</v>
      </c>
      <c r="AU41" s="4">
        <f>Z41*atwtAl</f>
        <v>0</v>
      </c>
      <c r="AV41" s="4">
        <f>AA41*atwtSi</f>
        <v>954.924</v>
      </c>
      <c r="AW41" s="4">
        <f>AB41*atwtK</f>
        <v>0</v>
      </c>
      <c r="AX41" s="4">
        <f>AC41*atwtCa</f>
        <v>0</v>
      </c>
      <c r="AY41" s="4">
        <f>AD41*atwtFe</f>
        <v>0</v>
      </c>
      <c r="AZ41" s="4">
        <f>AE41*atwtC</f>
        <v>0</v>
      </c>
      <c r="BA41" s="4">
        <f t="shared" si="19"/>
        <v>4536.396000000001</v>
      </c>
    </row>
    <row r="42" spans="1:53" ht="15.75">
      <c r="A42" s="21" t="s">
        <v>155</v>
      </c>
      <c r="B42" s="49">
        <v>454.36</v>
      </c>
      <c r="C42" s="96">
        <v>135.8</v>
      </c>
      <c r="D42" s="50">
        <v>3347</v>
      </c>
      <c r="E42" s="51">
        <v>2</v>
      </c>
      <c r="F42" s="52">
        <v>6.7E-05</v>
      </c>
      <c r="G42" s="52" t="s">
        <v>224</v>
      </c>
      <c r="H42" s="67">
        <v>122100000000</v>
      </c>
      <c r="I42" s="67" t="s">
        <v>672</v>
      </c>
      <c r="J42" s="97">
        <v>6.8</v>
      </c>
      <c r="K42" s="68" t="s">
        <v>672</v>
      </c>
      <c r="L42" s="67">
        <v>72900000000</v>
      </c>
      <c r="M42" s="67" t="s">
        <v>492</v>
      </c>
      <c r="N42" s="96">
        <f t="shared" si="24"/>
        <v>8.39</v>
      </c>
      <c r="O42" s="49" t="s">
        <v>250</v>
      </c>
      <c r="P42" s="68">
        <f t="shared" si="26"/>
        <v>0.995085995085995</v>
      </c>
      <c r="Q42" s="54" t="s">
        <v>13</v>
      </c>
      <c r="R42" s="68">
        <v>1.59</v>
      </c>
      <c r="S42" s="67" t="s">
        <v>492</v>
      </c>
      <c r="T42" s="68">
        <f t="shared" si="25"/>
        <v>8.39</v>
      </c>
      <c r="U42" s="54" t="s">
        <v>252</v>
      </c>
      <c r="V42" s="5">
        <v>1</v>
      </c>
      <c r="W42" s="4">
        <v>13</v>
      </c>
      <c r="Z42" s="4">
        <v>3</v>
      </c>
      <c r="AA42" s="4">
        <v>3</v>
      </c>
      <c r="AC42" s="4">
        <v>2</v>
      </c>
      <c r="AG42" s="5">
        <f t="shared" si="10"/>
        <v>1.9825165283072022</v>
      </c>
      <c r="AH42" s="5">
        <f t="shared" si="11"/>
        <v>0</v>
      </c>
      <c r="AI42" s="5">
        <f t="shared" si="12"/>
        <v>0</v>
      </c>
      <c r="AJ42" s="5">
        <f t="shared" si="13"/>
        <v>33.66096502425326</v>
      </c>
      <c r="AK42" s="5">
        <f t="shared" si="14"/>
        <v>39.67453980438936</v>
      </c>
      <c r="AL42" s="5">
        <f t="shared" si="15"/>
        <v>0</v>
      </c>
      <c r="AM42" s="5">
        <f t="shared" si="16"/>
        <v>24.68461965085877</v>
      </c>
      <c r="AN42" s="5">
        <f t="shared" si="17"/>
        <v>0</v>
      </c>
      <c r="AO42" s="5">
        <f t="shared" si="18"/>
        <v>0</v>
      </c>
      <c r="AQ42" s="4">
        <f t="shared" si="27"/>
        <v>1.008</v>
      </c>
      <c r="AR42" s="4">
        <f t="shared" si="28"/>
        <v>208</v>
      </c>
      <c r="AS42" s="4">
        <f t="shared" si="29"/>
        <v>0</v>
      </c>
      <c r="AT42" s="4">
        <f t="shared" si="30"/>
        <v>0</v>
      </c>
      <c r="AU42" s="4">
        <f t="shared" si="31"/>
        <v>80.946</v>
      </c>
      <c r="AV42" s="4">
        <f t="shared" si="32"/>
        <v>84.258</v>
      </c>
      <c r="AW42" s="4">
        <f t="shared" si="33"/>
        <v>0</v>
      </c>
      <c r="AX42" s="4">
        <f t="shared" si="34"/>
        <v>80.16</v>
      </c>
      <c r="AY42" s="4">
        <f t="shared" si="35"/>
        <v>0</v>
      </c>
      <c r="AZ42" s="4">
        <f t="shared" si="36"/>
        <v>0</v>
      </c>
      <c r="BA42" s="4">
        <f t="shared" si="19"/>
        <v>454.37199999999996</v>
      </c>
    </row>
    <row r="43" spans="1:53" ht="15.75">
      <c r="A43" s="21" t="s">
        <v>335</v>
      </c>
      <c r="B43" s="49">
        <v>454.36</v>
      </c>
      <c r="C43" s="96">
        <v>136.3</v>
      </c>
      <c r="D43" s="50">
        <v>3333</v>
      </c>
      <c r="E43" s="51">
        <v>2</v>
      </c>
      <c r="F43" s="52">
        <v>4.6E-05</v>
      </c>
      <c r="G43" s="52" t="s">
        <v>224</v>
      </c>
      <c r="H43" s="67">
        <f>kzo</f>
        <v>122100000000</v>
      </c>
      <c r="I43" s="67" t="s">
        <v>234</v>
      </c>
      <c r="J43" s="97">
        <f>J42</f>
        <v>6.8</v>
      </c>
      <c r="K43" s="68" t="s">
        <v>234</v>
      </c>
      <c r="L43" s="67">
        <f>L42</f>
        <v>72900000000</v>
      </c>
      <c r="M43" s="67" t="s">
        <v>234</v>
      </c>
      <c r="N43" s="96">
        <f t="shared" si="24"/>
        <v>8.39</v>
      </c>
      <c r="O43" s="49" t="s">
        <v>250</v>
      </c>
      <c r="P43" s="68">
        <f t="shared" si="26"/>
        <v>0.995085995085995</v>
      </c>
      <c r="Q43" s="54" t="s">
        <v>13</v>
      </c>
      <c r="R43" s="68">
        <f>R42</f>
        <v>1.59</v>
      </c>
      <c r="S43" s="96" t="s">
        <v>234</v>
      </c>
      <c r="T43" s="68">
        <f>T42</f>
        <v>8.39</v>
      </c>
      <c r="U43" s="96" t="s">
        <v>234</v>
      </c>
      <c r="V43" s="5">
        <v>1</v>
      </c>
      <c r="W43" s="4">
        <v>13</v>
      </c>
      <c r="Z43" s="4">
        <v>3</v>
      </c>
      <c r="AA43" s="4">
        <v>3</v>
      </c>
      <c r="AC43" s="4">
        <v>2</v>
      </c>
      <c r="AG43" s="5">
        <f t="shared" si="10"/>
        <v>1.9825165283072022</v>
      </c>
      <c r="AH43" s="5">
        <f t="shared" si="11"/>
        <v>0</v>
      </c>
      <c r="AI43" s="5">
        <f t="shared" si="12"/>
        <v>0</v>
      </c>
      <c r="AJ43" s="5">
        <f t="shared" si="13"/>
        <v>33.66096502425326</v>
      </c>
      <c r="AK43" s="5">
        <f t="shared" si="14"/>
        <v>39.67453980438936</v>
      </c>
      <c r="AL43" s="5">
        <f t="shared" si="15"/>
        <v>0</v>
      </c>
      <c r="AM43" s="5">
        <f t="shared" si="16"/>
        <v>24.68461965085877</v>
      </c>
      <c r="AN43" s="5">
        <f t="shared" si="17"/>
        <v>0</v>
      </c>
      <c r="AO43" s="5">
        <f t="shared" si="18"/>
        <v>0</v>
      </c>
      <c r="AQ43" s="4">
        <f t="shared" si="27"/>
        <v>1.008</v>
      </c>
      <c r="AR43" s="4">
        <f t="shared" si="28"/>
        <v>208</v>
      </c>
      <c r="AS43" s="4">
        <f t="shared" si="29"/>
        <v>0</v>
      </c>
      <c r="AT43" s="4">
        <f t="shared" si="30"/>
        <v>0</v>
      </c>
      <c r="AU43" s="4">
        <f t="shared" si="31"/>
        <v>80.946</v>
      </c>
      <c r="AV43" s="4">
        <f t="shared" si="32"/>
        <v>84.258</v>
      </c>
      <c r="AW43" s="4">
        <f t="shared" si="33"/>
        <v>0</v>
      </c>
      <c r="AX43" s="4">
        <f t="shared" si="34"/>
        <v>80.16</v>
      </c>
      <c r="AY43" s="4">
        <f t="shared" si="35"/>
        <v>0</v>
      </c>
      <c r="AZ43" s="4">
        <f t="shared" si="36"/>
        <v>0</v>
      </c>
      <c r="BA43" s="4">
        <f t="shared" si="19"/>
        <v>454.37199999999996</v>
      </c>
    </row>
    <row r="44" spans="1:53" ht="15.75">
      <c r="A44" s="21" t="s">
        <v>154</v>
      </c>
      <c r="B44" s="49">
        <v>483.22</v>
      </c>
      <c r="C44" s="96">
        <v>138.1</v>
      </c>
      <c r="D44" s="50">
        <v>3498</v>
      </c>
      <c r="E44" s="51">
        <v>1.9</v>
      </c>
      <c r="F44" s="52">
        <v>5.05E-05</v>
      </c>
      <c r="G44" s="52" t="s">
        <v>224</v>
      </c>
      <c r="H44" s="67">
        <v>119100000000</v>
      </c>
      <c r="I44" s="67" t="s">
        <v>672</v>
      </c>
      <c r="J44" s="97">
        <v>7.3</v>
      </c>
      <c r="K44" s="68" t="s">
        <v>672</v>
      </c>
      <c r="L44" s="67">
        <v>93400000000</v>
      </c>
      <c r="M44" s="67" t="s">
        <v>575</v>
      </c>
      <c r="N44" s="96">
        <f t="shared" si="24"/>
        <v>8.48</v>
      </c>
      <c r="O44" s="49" t="s">
        <v>250</v>
      </c>
      <c r="P44" s="68">
        <f t="shared" si="26"/>
        <v>1.3070249090400223</v>
      </c>
      <c r="Q44" s="54" t="s">
        <v>13</v>
      </c>
      <c r="R44" s="68">
        <v>1.18</v>
      </c>
      <c r="S44" s="49" t="s">
        <v>4</v>
      </c>
      <c r="T44" s="68">
        <f t="shared" si="25"/>
        <v>8.48</v>
      </c>
      <c r="U44" s="54" t="s">
        <v>252</v>
      </c>
      <c r="V44" s="5">
        <v>1</v>
      </c>
      <c r="W44" s="4">
        <v>13</v>
      </c>
      <c r="Z44" s="4">
        <v>2</v>
      </c>
      <c r="AA44" s="4">
        <v>3</v>
      </c>
      <c r="AC44" s="4">
        <v>2</v>
      </c>
      <c r="AD44" s="4">
        <v>1</v>
      </c>
      <c r="AG44" s="5">
        <f t="shared" si="10"/>
        <v>1.8640956714821093</v>
      </c>
      <c r="AH44" s="5">
        <f t="shared" si="11"/>
        <v>0</v>
      </c>
      <c r="AI44" s="5">
        <f t="shared" si="12"/>
        <v>0</v>
      </c>
      <c r="AJ44" s="5">
        <f t="shared" si="13"/>
        <v>21.100205489231993</v>
      </c>
      <c r="AK44" s="5">
        <f t="shared" si="14"/>
        <v>37.30467658726464</v>
      </c>
      <c r="AL44" s="5">
        <f t="shared" si="15"/>
        <v>0</v>
      </c>
      <c r="AM44" s="5">
        <f t="shared" si="16"/>
        <v>23.210143263036567</v>
      </c>
      <c r="AN44" s="5">
        <f t="shared" si="17"/>
        <v>14.868480683391379</v>
      </c>
      <c r="AO44" s="5">
        <f t="shared" si="18"/>
        <v>0</v>
      </c>
      <c r="AQ44" s="4">
        <f t="shared" si="27"/>
        <v>1.008</v>
      </c>
      <c r="AR44" s="4">
        <f t="shared" si="28"/>
        <v>208</v>
      </c>
      <c r="AS44" s="4">
        <f t="shared" si="29"/>
        <v>0</v>
      </c>
      <c r="AT44" s="4">
        <f t="shared" si="30"/>
        <v>0</v>
      </c>
      <c r="AU44" s="4">
        <f t="shared" si="31"/>
        <v>53.964</v>
      </c>
      <c r="AV44" s="4">
        <f t="shared" si="32"/>
        <v>84.258</v>
      </c>
      <c r="AW44" s="4">
        <f t="shared" si="33"/>
        <v>0</v>
      </c>
      <c r="AX44" s="4">
        <f t="shared" si="34"/>
        <v>80.16</v>
      </c>
      <c r="AY44" s="4">
        <f t="shared" si="35"/>
        <v>55.847</v>
      </c>
      <c r="AZ44" s="4">
        <f t="shared" si="36"/>
        <v>0</v>
      </c>
      <c r="BA44" s="4">
        <f t="shared" si="19"/>
        <v>483.23699999999997</v>
      </c>
    </row>
    <row r="45" spans="1:53" ht="15.75">
      <c r="A45" s="21" t="s">
        <v>277</v>
      </c>
      <c r="B45" s="49">
        <v>314.24</v>
      </c>
      <c r="C45" s="96">
        <v>101.3</v>
      </c>
      <c r="D45" s="50">
        <v>3101</v>
      </c>
      <c r="E45" s="51">
        <v>11.5</v>
      </c>
      <c r="F45" s="69">
        <v>3.16E-05</v>
      </c>
      <c r="G45" s="69" t="s">
        <v>225</v>
      </c>
      <c r="H45" s="67">
        <v>123200000000</v>
      </c>
      <c r="I45" s="67" t="s">
        <v>477</v>
      </c>
      <c r="J45" s="96">
        <v>5.5</v>
      </c>
      <c r="K45" s="67" t="s">
        <v>311</v>
      </c>
      <c r="L45" s="67">
        <v>52300000000</v>
      </c>
      <c r="M45" s="67" t="s">
        <v>477</v>
      </c>
      <c r="N45" s="96">
        <f t="shared" si="24"/>
        <v>6.42</v>
      </c>
      <c r="O45" s="49" t="s">
        <v>250</v>
      </c>
      <c r="P45" s="68">
        <f>(5*L45)/(3*H45)</f>
        <v>0.707521645021645</v>
      </c>
      <c r="Q45" s="54" t="s">
        <v>13</v>
      </c>
      <c r="R45" s="68">
        <v>0.92</v>
      </c>
      <c r="S45" s="49" t="s">
        <v>4</v>
      </c>
      <c r="T45" s="68">
        <f t="shared" si="25"/>
        <v>6.42</v>
      </c>
      <c r="U45" s="54" t="s">
        <v>252</v>
      </c>
      <c r="V45" s="5">
        <v>4</v>
      </c>
      <c r="W45" s="4">
        <v>10</v>
      </c>
      <c r="Z45" s="4">
        <v>2</v>
      </c>
      <c r="AA45" s="4">
        <v>2</v>
      </c>
      <c r="AC45" s="4">
        <v>1</v>
      </c>
      <c r="AG45" s="5">
        <f t="shared" si="10"/>
        <v>11.466103205111885</v>
      </c>
      <c r="AH45" s="5">
        <f t="shared" si="11"/>
        <v>0</v>
      </c>
      <c r="AI45" s="5">
        <f t="shared" si="12"/>
        <v>0</v>
      </c>
      <c r="AJ45" s="5">
        <f t="shared" si="13"/>
        <v>32.446984547236575</v>
      </c>
      <c r="AK45" s="5">
        <f t="shared" si="14"/>
        <v>38.243680150709</v>
      </c>
      <c r="AL45" s="5">
        <f t="shared" si="15"/>
        <v>0</v>
      </c>
      <c r="AM45" s="5">
        <f t="shared" si="16"/>
        <v>17.8457778569792</v>
      </c>
      <c r="AN45" s="5">
        <f t="shared" si="17"/>
        <v>0</v>
      </c>
      <c r="AO45" s="5">
        <f t="shared" si="18"/>
        <v>0</v>
      </c>
      <c r="AQ45" s="4">
        <f t="shared" si="27"/>
        <v>4.032</v>
      </c>
      <c r="AR45" s="4">
        <f t="shared" si="28"/>
        <v>160</v>
      </c>
      <c r="AS45" s="4">
        <f t="shared" si="29"/>
        <v>0</v>
      </c>
      <c r="AT45" s="4">
        <f t="shared" si="30"/>
        <v>0</v>
      </c>
      <c r="AU45" s="4">
        <f t="shared" si="31"/>
        <v>53.964</v>
      </c>
      <c r="AV45" s="4">
        <f t="shared" si="32"/>
        <v>56.172</v>
      </c>
      <c r="AW45" s="4">
        <f t="shared" si="33"/>
        <v>0</v>
      </c>
      <c r="AX45" s="4">
        <f t="shared" si="34"/>
        <v>40.08</v>
      </c>
      <c r="AY45" s="4">
        <f t="shared" si="35"/>
        <v>0</v>
      </c>
      <c r="AZ45" s="4">
        <f t="shared" si="36"/>
        <v>0</v>
      </c>
      <c r="BA45" s="4">
        <f t="shared" si="19"/>
        <v>314.248</v>
      </c>
    </row>
    <row r="46" spans="1:53" ht="15.75">
      <c r="A46" s="21" t="s">
        <v>333</v>
      </c>
      <c r="B46" s="49">
        <v>412.391</v>
      </c>
      <c r="C46" s="96">
        <v>140.3</v>
      </c>
      <c r="D46" s="50">
        <v>2940</v>
      </c>
      <c r="E46" s="51">
        <v>4.4</v>
      </c>
      <c r="F46" s="69">
        <v>5.1E-05</v>
      </c>
      <c r="G46" s="69" t="s">
        <v>224</v>
      </c>
      <c r="H46" s="53">
        <v>83500000000</v>
      </c>
      <c r="I46" s="53" t="s">
        <v>231</v>
      </c>
      <c r="J46" s="50">
        <v>4</v>
      </c>
      <c r="K46" s="54" t="s">
        <v>110</v>
      </c>
      <c r="L46" s="53">
        <f>L36*(H46/H36)</f>
        <v>51730639730.63973</v>
      </c>
      <c r="M46" s="53" t="s">
        <v>113</v>
      </c>
      <c r="N46" s="96">
        <f t="shared" si="24"/>
        <v>4.83</v>
      </c>
      <c r="O46" s="49" t="s">
        <v>250</v>
      </c>
      <c r="P46" s="54">
        <f t="shared" si="26"/>
        <v>1.0325476992143658</v>
      </c>
      <c r="Q46" s="54" t="s">
        <v>13</v>
      </c>
      <c r="R46" s="68">
        <v>0.83</v>
      </c>
      <c r="S46" s="49" t="s">
        <v>4</v>
      </c>
      <c r="T46" s="68">
        <f t="shared" si="25"/>
        <v>4.83</v>
      </c>
      <c r="U46" s="54" t="s">
        <v>252</v>
      </c>
      <c r="V46" s="5">
        <v>2</v>
      </c>
      <c r="W46" s="4">
        <v>12</v>
      </c>
      <c r="Z46" s="4">
        <v>2</v>
      </c>
      <c r="AA46" s="4">
        <v>3</v>
      </c>
      <c r="AC46" s="4">
        <v>2</v>
      </c>
      <c r="AG46" s="5">
        <f t="shared" si="10"/>
        <v>4.368595386010601</v>
      </c>
      <c r="AH46" s="5">
        <f t="shared" si="11"/>
        <v>0</v>
      </c>
      <c r="AI46" s="5">
        <f t="shared" si="12"/>
        <v>0</v>
      </c>
      <c r="AJ46" s="5">
        <f t="shared" si="13"/>
        <v>24.72465918845387</v>
      </c>
      <c r="AK46" s="5">
        <f t="shared" si="14"/>
        <v>43.71262712234298</v>
      </c>
      <c r="AL46" s="5">
        <f t="shared" si="15"/>
        <v>0</v>
      </c>
      <c r="AM46" s="5">
        <f t="shared" si="16"/>
        <v>27.197028113618398</v>
      </c>
      <c r="AN46" s="5">
        <f t="shared" si="17"/>
        <v>0</v>
      </c>
      <c r="AO46" s="5">
        <f t="shared" si="18"/>
        <v>0</v>
      </c>
      <c r="AQ46" s="4">
        <f t="shared" si="27"/>
        <v>2.016</v>
      </c>
      <c r="AR46" s="4">
        <f t="shared" si="28"/>
        <v>192</v>
      </c>
      <c r="AS46" s="4">
        <f t="shared" si="29"/>
        <v>0</v>
      </c>
      <c r="AT46" s="4">
        <f t="shared" si="30"/>
        <v>0</v>
      </c>
      <c r="AU46" s="4">
        <f t="shared" si="31"/>
        <v>53.964</v>
      </c>
      <c r="AV46" s="4">
        <f t="shared" si="32"/>
        <v>84.258</v>
      </c>
      <c r="AW46" s="4">
        <f t="shared" si="33"/>
        <v>0</v>
      </c>
      <c r="AX46" s="4">
        <f t="shared" si="34"/>
        <v>80.16</v>
      </c>
      <c r="AY46" s="4">
        <f t="shared" si="35"/>
        <v>0</v>
      </c>
      <c r="AZ46" s="4">
        <f t="shared" si="36"/>
        <v>0</v>
      </c>
      <c r="BA46" s="4">
        <f t="shared" si="19"/>
        <v>412.398</v>
      </c>
    </row>
    <row r="47" spans="1:53" ht="15.75">
      <c r="A47" s="21" t="s">
        <v>334</v>
      </c>
      <c r="B47" s="50">
        <v>943</v>
      </c>
      <c r="C47" s="96">
        <v>295.5</v>
      </c>
      <c r="D47" s="50">
        <v>3191</v>
      </c>
      <c r="E47" s="51">
        <v>6.7</v>
      </c>
      <c r="F47" s="69">
        <v>5E-05</v>
      </c>
      <c r="G47" s="69" t="s">
        <v>224</v>
      </c>
      <c r="H47" s="53">
        <v>161500000000</v>
      </c>
      <c r="I47" s="53" t="s">
        <v>231</v>
      </c>
      <c r="J47" s="50">
        <v>4</v>
      </c>
      <c r="K47" s="54" t="s">
        <v>110</v>
      </c>
      <c r="L47" s="67">
        <f>L43*H47/H43</f>
        <v>96423832923.83293</v>
      </c>
      <c r="M47" s="67" t="s">
        <v>571</v>
      </c>
      <c r="N47" s="96">
        <f t="shared" si="24"/>
        <v>5.39</v>
      </c>
      <c r="O47" s="49" t="s">
        <v>250</v>
      </c>
      <c r="P47" s="68">
        <f t="shared" si="26"/>
        <v>0.9950859950859952</v>
      </c>
      <c r="Q47" s="54" t="s">
        <v>13</v>
      </c>
      <c r="R47" s="68">
        <v>1.39</v>
      </c>
      <c r="S47" s="49" t="s">
        <v>4</v>
      </c>
      <c r="T47" s="68">
        <f t="shared" si="25"/>
        <v>5.39</v>
      </c>
      <c r="U47" s="54" t="s">
        <v>252</v>
      </c>
      <c r="V47" s="5">
        <v>7</v>
      </c>
      <c r="W47" s="4">
        <v>28</v>
      </c>
      <c r="Y47" s="4">
        <v>1</v>
      </c>
      <c r="Z47" s="4">
        <v>5</v>
      </c>
      <c r="AA47" s="4">
        <v>6</v>
      </c>
      <c r="AC47" s="4">
        <v>4</v>
      </c>
      <c r="AG47" s="5">
        <f t="shared" si="10"/>
        <v>6.68593616466302</v>
      </c>
      <c r="AH47" s="5">
        <f t="shared" si="11"/>
        <v>0</v>
      </c>
      <c r="AI47" s="5">
        <f t="shared" si="12"/>
        <v>4.274350714759827</v>
      </c>
      <c r="AJ47" s="5">
        <f t="shared" si="13"/>
        <v>27.02854585977941</v>
      </c>
      <c r="AK47" s="5">
        <f t="shared" si="14"/>
        <v>38.228676490859</v>
      </c>
      <c r="AL47" s="5">
        <f t="shared" si="15"/>
        <v>0</v>
      </c>
      <c r="AM47" s="5">
        <f t="shared" si="16"/>
        <v>23.78503553122952</v>
      </c>
      <c r="AN47" s="5">
        <f t="shared" si="17"/>
        <v>0</v>
      </c>
      <c r="AO47" s="5">
        <f t="shared" si="18"/>
        <v>0</v>
      </c>
      <c r="AQ47" s="4">
        <f t="shared" si="27"/>
        <v>7.056</v>
      </c>
      <c r="AR47" s="4">
        <f t="shared" si="28"/>
        <v>448</v>
      </c>
      <c r="AS47" s="4">
        <f t="shared" si="29"/>
        <v>0</v>
      </c>
      <c r="AT47" s="4">
        <f t="shared" si="30"/>
        <v>24.312</v>
      </c>
      <c r="AU47" s="4">
        <f t="shared" si="31"/>
        <v>134.91</v>
      </c>
      <c r="AV47" s="4">
        <f t="shared" si="32"/>
        <v>168.516</v>
      </c>
      <c r="AW47" s="4">
        <f t="shared" si="33"/>
        <v>0</v>
      </c>
      <c r="AX47" s="4">
        <f t="shared" si="34"/>
        <v>160.32</v>
      </c>
      <c r="AY47" s="4">
        <f t="shared" si="35"/>
        <v>0</v>
      </c>
      <c r="AZ47" s="4">
        <f t="shared" si="36"/>
        <v>0</v>
      </c>
      <c r="BA47" s="4">
        <f t="shared" si="19"/>
        <v>943.114</v>
      </c>
    </row>
    <row r="48" spans="1:53" ht="15.75">
      <c r="A48" s="21" t="s">
        <v>338</v>
      </c>
      <c r="B48" s="49">
        <v>470.44</v>
      </c>
      <c r="C48" s="96">
        <v>203.7</v>
      </c>
      <c r="D48" s="50">
        <v>2309</v>
      </c>
      <c r="E48" s="51">
        <v>15.3</v>
      </c>
      <c r="F48" s="69">
        <v>2.38E-05</v>
      </c>
      <c r="G48" s="69" t="s">
        <v>224</v>
      </c>
      <c r="H48" s="67">
        <f>H49</f>
        <v>39000000000</v>
      </c>
      <c r="I48" s="67" t="s">
        <v>617</v>
      </c>
      <c r="J48" s="97">
        <f>J49</f>
        <v>4</v>
      </c>
      <c r="K48" s="67" t="s">
        <v>617</v>
      </c>
      <c r="L48" s="67">
        <f>L49</f>
        <v>23376623376.623375</v>
      </c>
      <c r="M48" s="67" t="s">
        <v>617</v>
      </c>
      <c r="N48" s="96">
        <f>N49</f>
        <v>4.54</v>
      </c>
      <c r="O48" s="67" t="s">
        <v>617</v>
      </c>
      <c r="P48" s="68">
        <f>P49</f>
        <v>0.999000999000999</v>
      </c>
      <c r="Q48" s="67" t="s">
        <v>617</v>
      </c>
      <c r="R48" s="68">
        <f>R49</f>
        <v>0.54</v>
      </c>
      <c r="S48" s="67" t="s">
        <v>617</v>
      </c>
      <c r="T48" s="68">
        <f>T49</f>
        <v>4.54</v>
      </c>
      <c r="U48" s="67" t="s">
        <v>617</v>
      </c>
      <c r="V48" s="5">
        <v>8</v>
      </c>
      <c r="W48" s="4">
        <v>16</v>
      </c>
      <c r="Z48" s="4">
        <v>2</v>
      </c>
      <c r="AA48" s="4">
        <v>4</v>
      </c>
      <c r="AC48" s="4">
        <v>1</v>
      </c>
      <c r="AG48" s="5">
        <f t="shared" si="10"/>
        <v>15.318034571008306</v>
      </c>
      <c r="AH48" s="5">
        <f t="shared" si="11"/>
        <v>0</v>
      </c>
      <c r="AI48" s="5">
        <f t="shared" si="12"/>
        <v>0</v>
      </c>
      <c r="AJ48" s="5">
        <f t="shared" si="13"/>
        <v>21.67362451429689</v>
      </c>
      <c r="AK48" s="5">
        <f t="shared" si="14"/>
        <v>51.091290928723865</v>
      </c>
      <c r="AL48" s="5">
        <f t="shared" si="15"/>
        <v>0</v>
      </c>
      <c r="AM48" s="5">
        <f t="shared" si="16"/>
        <v>11.920450970555976</v>
      </c>
      <c r="AN48" s="5">
        <f t="shared" si="17"/>
        <v>0</v>
      </c>
      <c r="AO48" s="5">
        <f t="shared" si="18"/>
        <v>0</v>
      </c>
      <c r="AQ48" s="4">
        <f t="shared" si="27"/>
        <v>8.064</v>
      </c>
      <c r="AR48" s="4">
        <f t="shared" si="28"/>
        <v>256</v>
      </c>
      <c r="AS48" s="4">
        <f t="shared" si="29"/>
        <v>0</v>
      </c>
      <c r="AT48" s="4">
        <f t="shared" si="30"/>
        <v>0</v>
      </c>
      <c r="AU48" s="4">
        <f t="shared" si="31"/>
        <v>53.964</v>
      </c>
      <c r="AV48" s="4">
        <f t="shared" si="32"/>
        <v>112.344</v>
      </c>
      <c r="AW48" s="4">
        <f t="shared" si="33"/>
        <v>0</v>
      </c>
      <c r="AX48" s="4">
        <f t="shared" si="34"/>
        <v>40.08</v>
      </c>
      <c r="AY48" s="4">
        <f t="shared" si="35"/>
        <v>0</v>
      </c>
      <c r="AZ48" s="4">
        <f t="shared" si="36"/>
        <v>0</v>
      </c>
      <c r="BA48" s="4">
        <f t="shared" si="19"/>
        <v>470.452</v>
      </c>
    </row>
    <row r="49" spans="1:53" ht="15.75">
      <c r="A49" s="21" t="s">
        <v>339</v>
      </c>
      <c r="B49" s="49">
        <v>434.44</v>
      </c>
      <c r="C49" s="96">
        <v>190.4</v>
      </c>
      <c r="D49" s="50">
        <v>2281</v>
      </c>
      <c r="E49" s="51">
        <v>8.3</v>
      </c>
      <c r="F49" s="69">
        <v>2.38E-05</v>
      </c>
      <c r="G49" s="69" t="s">
        <v>224</v>
      </c>
      <c r="H49" s="67">
        <v>39000000000</v>
      </c>
      <c r="I49" s="67" t="s">
        <v>591</v>
      </c>
      <c r="J49" s="97">
        <v>4</v>
      </c>
      <c r="K49" s="67" t="s">
        <v>591</v>
      </c>
      <c r="L49" s="67">
        <f>L9*(H49/H9)</f>
        <v>23376623376.623375</v>
      </c>
      <c r="M49" s="67" t="s">
        <v>614</v>
      </c>
      <c r="N49" s="96">
        <f aca="true" t="shared" si="37" ref="N49:N54">T49</f>
        <v>4.54</v>
      </c>
      <c r="O49" s="49" t="s">
        <v>250</v>
      </c>
      <c r="P49" s="54">
        <f t="shared" si="26"/>
        <v>0.999000999000999</v>
      </c>
      <c r="Q49" s="54" t="s">
        <v>13</v>
      </c>
      <c r="R49" s="68">
        <v>0.54</v>
      </c>
      <c r="S49" s="49" t="s">
        <v>4</v>
      </c>
      <c r="T49" s="68">
        <f t="shared" si="25"/>
        <v>4.54</v>
      </c>
      <c r="U49" s="54" t="s">
        <v>252</v>
      </c>
      <c r="V49" s="5">
        <v>4</v>
      </c>
      <c r="W49" s="4">
        <v>14</v>
      </c>
      <c r="Z49" s="4">
        <v>2</v>
      </c>
      <c r="AA49" s="4">
        <v>4</v>
      </c>
      <c r="AC49" s="4">
        <v>1</v>
      </c>
      <c r="AG49" s="5">
        <f t="shared" si="10"/>
        <v>8.29427742737443</v>
      </c>
      <c r="AH49" s="5">
        <f t="shared" si="11"/>
        <v>0</v>
      </c>
      <c r="AI49" s="5">
        <f t="shared" si="12"/>
        <v>0</v>
      </c>
      <c r="AJ49" s="5">
        <f t="shared" si="13"/>
        <v>23.47129506008011</v>
      </c>
      <c r="AK49" s="5">
        <f t="shared" si="14"/>
        <v>55.328944339579216</v>
      </c>
      <c r="AL49" s="5">
        <f t="shared" si="15"/>
        <v>0</v>
      </c>
      <c r="AM49" s="5">
        <f t="shared" si="16"/>
        <v>12.909166244648038</v>
      </c>
      <c r="AN49" s="5">
        <f t="shared" si="17"/>
        <v>0</v>
      </c>
      <c r="AO49" s="5">
        <f t="shared" si="18"/>
        <v>0</v>
      </c>
      <c r="AQ49" s="4">
        <f t="shared" si="27"/>
        <v>4.032</v>
      </c>
      <c r="AR49" s="4">
        <f t="shared" si="28"/>
        <v>224</v>
      </c>
      <c r="AS49" s="4">
        <f t="shared" si="29"/>
        <v>0</v>
      </c>
      <c r="AT49" s="4">
        <f t="shared" si="30"/>
        <v>0</v>
      </c>
      <c r="AU49" s="4">
        <f t="shared" si="31"/>
        <v>53.964</v>
      </c>
      <c r="AV49" s="4">
        <f t="shared" si="32"/>
        <v>112.344</v>
      </c>
      <c r="AW49" s="4">
        <f t="shared" si="33"/>
        <v>0</v>
      </c>
      <c r="AX49" s="4">
        <f t="shared" si="34"/>
        <v>40.08</v>
      </c>
      <c r="AY49" s="4">
        <f t="shared" si="35"/>
        <v>0</v>
      </c>
      <c r="AZ49" s="4">
        <f t="shared" si="36"/>
        <v>0</v>
      </c>
      <c r="BA49" s="4">
        <f t="shared" si="19"/>
        <v>434.41999999999996</v>
      </c>
    </row>
    <row r="50" spans="1:53" ht="15.75">
      <c r="A50" s="21" t="s">
        <v>173</v>
      </c>
      <c r="B50" s="49">
        <v>58.32</v>
      </c>
      <c r="C50" s="96">
        <v>24.63</v>
      </c>
      <c r="D50" s="50">
        <v>2380</v>
      </c>
      <c r="E50" s="51">
        <v>30.9</v>
      </c>
      <c r="F50" s="69">
        <v>0.00013</v>
      </c>
      <c r="G50" s="69" t="s">
        <v>226</v>
      </c>
      <c r="H50" s="67">
        <v>43200000000</v>
      </c>
      <c r="I50" s="96" t="s">
        <v>491</v>
      </c>
      <c r="J50" s="96">
        <v>6.8</v>
      </c>
      <c r="K50" s="96" t="s">
        <v>491</v>
      </c>
      <c r="L50" s="67">
        <v>35200000000</v>
      </c>
      <c r="M50" s="96" t="s">
        <v>491</v>
      </c>
      <c r="N50" s="96">
        <f t="shared" si="37"/>
        <v>4.5</v>
      </c>
      <c r="O50" s="49" t="s">
        <v>250</v>
      </c>
      <c r="P50" s="68">
        <v>3.4</v>
      </c>
      <c r="Q50" s="96" t="s">
        <v>491</v>
      </c>
      <c r="R50" s="68">
        <v>0.58</v>
      </c>
      <c r="S50" s="96" t="s">
        <v>491</v>
      </c>
      <c r="T50" s="68">
        <v>4.5</v>
      </c>
      <c r="U50" s="54" t="s">
        <v>253</v>
      </c>
      <c r="V50" s="5">
        <v>2</v>
      </c>
      <c r="W50" s="4">
        <v>2</v>
      </c>
      <c r="Y50" s="4">
        <v>1</v>
      </c>
      <c r="AG50" s="5">
        <f t="shared" si="10"/>
        <v>30.887395419009735</v>
      </c>
      <c r="AH50" s="5">
        <f t="shared" si="11"/>
        <v>0</v>
      </c>
      <c r="AI50" s="5">
        <f t="shared" si="12"/>
        <v>69.11260458099025</v>
      </c>
      <c r="AJ50" s="5">
        <f t="shared" si="13"/>
        <v>0</v>
      </c>
      <c r="AK50" s="5">
        <f t="shared" si="14"/>
        <v>0</v>
      </c>
      <c r="AL50" s="5">
        <f t="shared" si="15"/>
        <v>0</v>
      </c>
      <c r="AM50" s="5">
        <f t="shared" si="16"/>
        <v>0</v>
      </c>
      <c r="AN50" s="5">
        <f t="shared" si="17"/>
        <v>0</v>
      </c>
      <c r="AO50" s="5">
        <f t="shared" si="18"/>
        <v>0</v>
      </c>
      <c r="AQ50" s="4">
        <f t="shared" si="27"/>
        <v>2.016</v>
      </c>
      <c r="AR50" s="4">
        <f t="shared" si="28"/>
        <v>32</v>
      </c>
      <c r="AS50" s="4">
        <f t="shared" si="29"/>
        <v>0</v>
      </c>
      <c r="AT50" s="4">
        <f t="shared" si="30"/>
        <v>24.312</v>
      </c>
      <c r="AU50" s="4">
        <f t="shared" si="31"/>
        <v>0</v>
      </c>
      <c r="AV50" s="4">
        <f t="shared" si="32"/>
        <v>0</v>
      </c>
      <c r="AW50" s="4">
        <f t="shared" si="33"/>
        <v>0</v>
      </c>
      <c r="AX50" s="4">
        <f t="shared" si="34"/>
        <v>0</v>
      </c>
      <c r="AY50" s="4">
        <f t="shared" si="35"/>
        <v>0</v>
      </c>
      <c r="AZ50" s="4">
        <f t="shared" si="36"/>
        <v>0</v>
      </c>
      <c r="BA50" s="4">
        <f t="shared" si="19"/>
        <v>58.328</v>
      </c>
    </row>
    <row r="51" spans="1:53" ht="15.75">
      <c r="A51" s="21" t="s">
        <v>151</v>
      </c>
      <c r="B51" s="49">
        <v>621.09</v>
      </c>
      <c r="C51" s="96">
        <v>197.4</v>
      </c>
      <c r="D51" s="50">
        <v>3146</v>
      </c>
      <c r="E51" s="51">
        <v>2.9</v>
      </c>
      <c r="F51" s="69">
        <v>5E-05</v>
      </c>
      <c r="G51" s="69" t="s">
        <v>224</v>
      </c>
      <c r="H51" s="67">
        <f>125000000000/(1+F51*0.42*R51*298)</f>
        <v>124199442684.31203</v>
      </c>
      <c r="I51" s="67" t="s">
        <v>647</v>
      </c>
      <c r="J51" s="50">
        <v>4</v>
      </c>
      <c r="K51" s="54" t="s">
        <v>110</v>
      </c>
      <c r="L51" s="67">
        <v>73200000000</v>
      </c>
      <c r="M51" s="67" t="s">
        <v>647</v>
      </c>
      <c r="N51" s="96">
        <f t="shared" si="37"/>
        <v>5.03</v>
      </c>
      <c r="O51" s="49" t="s">
        <v>250</v>
      </c>
      <c r="P51" s="54">
        <f t="shared" si="26"/>
        <v>0.98229104224</v>
      </c>
      <c r="Q51" s="54" t="s">
        <v>13</v>
      </c>
      <c r="R51" s="68">
        <v>1.03</v>
      </c>
      <c r="S51" s="49" t="s">
        <v>4</v>
      </c>
      <c r="T51" s="68">
        <f>R51+J51</f>
        <v>5.03</v>
      </c>
      <c r="U51" s="54" t="s">
        <v>252</v>
      </c>
      <c r="V51" s="5">
        <v>2</v>
      </c>
      <c r="W51" s="4">
        <v>18</v>
      </c>
      <c r="Y51" s="4">
        <v>9</v>
      </c>
      <c r="AA51" s="4">
        <v>4</v>
      </c>
      <c r="AG51" s="5">
        <f t="shared" si="10"/>
        <v>2.9003425804291263</v>
      </c>
      <c r="AH51" s="5">
        <f t="shared" si="11"/>
        <v>0</v>
      </c>
      <c r="AI51" s="5">
        <f t="shared" si="12"/>
        <v>58.40738737346417</v>
      </c>
      <c r="AJ51" s="5">
        <f t="shared" si="13"/>
        <v>0</v>
      </c>
      <c r="AK51" s="5">
        <f t="shared" si="14"/>
        <v>38.694845838806884</v>
      </c>
      <c r="AL51" s="5">
        <f t="shared" si="15"/>
        <v>0</v>
      </c>
      <c r="AM51" s="5">
        <f t="shared" si="16"/>
        <v>0</v>
      </c>
      <c r="AN51" s="5">
        <f t="shared" si="17"/>
        <v>0</v>
      </c>
      <c r="AO51" s="5">
        <f t="shared" si="18"/>
        <v>0</v>
      </c>
      <c r="AQ51" s="4">
        <f t="shared" si="27"/>
        <v>2.016</v>
      </c>
      <c r="AR51" s="4">
        <f t="shared" si="28"/>
        <v>288</v>
      </c>
      <c r="AS51" s="4">
        <f t="shared" si="29"/>
        <v>0</v>
      </c>
      <c r="AT51" s="4">
        <f t="shared" si="30"/>
        <v>218.80800000000002</v>
      </c>
      <c r="AU51" s="4">
        <f t="shared" si="31"/>
        <v>0</v>
      </c>
      <c r="AV51" s="4">
        <f t="shared" si="32"/>
        <v>112.344</v>
      </c>
      <c r="AW51" s="4">
        <f t="shared" si="33"/>
        <v>0</v>
      </c>
      <c r="AX51" s="4">
        <f t="shared" si="34"/>
        <v>0</v>
      </c>
      <c r="AY51" s="4">
        <f t="shared" si="35"/>
        <v>0</v>
      </c>
      <c r="AZ51" s="4">
        <f t="shared" si="36"/>
        <v>0</v>
      </c>
      <c r="BA51" s="4">
        <f t="shared" si="19"/>
        <v>621.1680000000001</v>
      </c>
    </row>
    <row r="52" spans="1:53" ht="15.75">
      <c r="A52" s="21" t="s">
        <v>340</v>
      </c>
      <c r="B52" s="49">
        <v>456.345</v>
      </c>
      <c r="C52" s="96">
        <v>154.4</v>
      </c>
      <c r="D52" s="50">
        <v>2955</v>
      </c>
      <c r="E52" s="51">
        <v>11.8</v>
      </c>
      <c r="F52" s="69">
        <v>8.26E-05</v>
      </c>
      <c r="G52" s="69" t="s">
        <v>226</v>
      </c>
      <c r="H52" s="67">
        <f>106000000000/(1+F52*0.42*R52*298)</f>
        <v>103852696777.07225</v>
      </c>
      <c r="I52" s="67" t="s">
        <v>481</v>
      </c>
      <c r="J52" s="96">
        <v>5.8</v>
      </c>
      <c r="K52" s="67" t="s">
        <v>481</v>
      </c>
      <c r="L52" s="67">
        <v>61000000000</v>
      </c>
      <c r="M52" s="67" t="s">
        <v>481</v>
      </c>
      <c r="N52" s="96">
        <f t="shared" si="37"/>
        <v>7.8</v>
      </c>
      <c r="O52" s="49" t="s">
        <v>250</v>
      </c>
      <c r="P52" s="68">
        <v>1.8</v>
      </c>
      <c r="Q52" s="67" t="s">
        <v>481</v>
      </c>
      <c r="R52" s="68">
        <v>2</v>
      </c>
      <c r="S52" s="49" t="s">
        <v>4</v>
      </c>
      <c r="T52" s="68">
        <f>R52+J52</f>
        <v>7.8</v>
      </c>
      <c r="U52" s="54" t="s">
        <v>252</v>
      </c>
      <c r="V52" s="5">
        <v>6</v>
      </c>
      <c r="W52" s="4">
        <v>14</v>
      </c>
      <c r="Y52" s="4">
        <v>7</v>
      </c>
      <c r="AA52" s="4">
        <v>2</v>
      </c>
      <c r="AG52" s="5">
        <f t="shared" si="10"/>
        <v>11.842139858546375</v>
      </c>
      <c r="AH52" s="5">
        <f t="shared" si="11"/>
        <v>0</v>
      </c>
      <c r="AI52" s="5">
        <f t="shared" si="12"/>
        <v>61.82767898616138</v>
      </c>
      <c r="AJ52" s="5">
        <f t="shared" si="13"/>
        <v>0</v>
      </c>
      <c r="AK52" s="5">
        <f t="shared" si="14"/>
        <v>26.331933988308602</v>
      </c>
      <c r="AL52" s="5">
        <f t="shared" si="15"/>
        <v>0</v>
      </c>
      <c r="AM52" s="5">
        <f t="shared" si="16"/>
        <v>0</v>
      </c>
      <c r="AN52" s="5">
        <f t="shared" si="17"/>
        <v>0</v>
      </c>
      <c r="AO52" s="5">
        <f t="shared" si="18"/>
        <v>0</v>
      </c>
      <c r="AQ52" s="4">
        <f t="shared" si="27"/>
        <v>6.048</v>
      </c>
      <c r="AR52" s="4">
        <f t="shared" si="28"/>
        <v>224</v>
      </c>
      <c r="AS52" s="4">
        <f t="shared" si="29"/>
        <v>0</v>
      </c>
      <c r="AT52" s="4">
        <f t="shared" si="30"/>
        <v>170.184</v>
      </c>
      <c r="AU52" s="4">
        <f t="shared" si="31"/>
        <v>0</v>
      </c>
      <c r="AV52" s="4">
        <f t="shared" si="32"/>
        <v>56.172</v>
      </c>
      <c r="AW52" s="4">
        <f t="shared" si="33"/>
        <v>0</v>
      </c>
      <c r="AX52" s="4">
        <f t="shared" si="34"/>
        <v>0</v>
      </c>
      <c r="AY52" s="4">
        <f t="shared" si="35"/>
        <v>0</v>
      </c>
      <c r="AZ52" s="4">
        <f t="shared" si="36"/>
        <v>0</v>
      </c>
      <c r="BA52" s="4">
        <f t="shared" si="19"/>
        <v>456.404</v>
      </c>
    </row>
    <row r="53" spans="1:53" ht="15.75">
      <c r="A53" s="21" t="s">
        <v>341</v>
      </c>
      <c r="B53" s="49">
        <v>162.006</v>
      </c>
      <c r="C53" s="96">
        <v>49.9</v>
      </c>
      <c r="D53" s="50">
        <v>3249</v>
      </c>
      <c r="E53" s="51">
        <v>0</v>
      </c>
      <c r="F53" s="69">
        <v>2.21E-05</v>
      </c>
      <c r="G53" s="69" t="s">
        <v>224</v>
      </c>
      <c r="H53" s="53">
        <f>170800000000/(1+F53*0.42*R53*298)</f>
        <v>170559395551.60068</v>
      </c>
      <c r="I53" s="67" t="s">
        <v>611</v>
      </c>
      <c r="J53" s="50">
        <v>4</v>
      </c>
      <c r="K53" s="54" t="s">
        <v>110</v>
      </c>
      <c r="L53" s="67">
        <v>93000000000</v>
      </c>
      <c r="M53" s="67" t="s">
        <v>611</v>
      </c>
      <c r="N53" s="96">
        <f t="shared" si="37"/>
        <v>4.51</v>
      </c>
      <c r="O53" s="49" t="s">
        <v>250</v>
      </c>
      <c r="P53" s="54">
        <f t="shared" si="26"/>
        <v>0.9087743275515223</v>
      </c>
      <c r="Q53" s="54" t="s">
        <v>13</v>
      </c>
      <c r="R53" s="68">
        <v>0.51</v>
      </c>
      <c r="S53" s="49" t="s">
        <v>4</v>
      </c>
      <c r="T53" s="68">
        <f>R53+J53</f>
        <v>4.51</v>
      </c>
      <c r="U53" s="54" t="s">
        <v>252</v>
      </c>
      <c r="W53" s="4">
        <v>5</v>
      </c>
      <c r="Z53" s="4">
        <v>2</v>
      </c>
      <c r="AA53" s="4">
        <v>1</v>
      </c>
      <c r="AG53" s="5">
        <f t="shared" si="10"/>
        <v>0</v>
      </c>
      <c r="AH53" s="5">
        <f t="shared" si="11"/>
        <v>0</v>
      </c>
      <c r="AI53" s="5">
        <f t="shared" si="12"/>
        <v>0</v>
      </c>
      <c r="AJ53" s="5">
        <f t="shared" si="13"/>
        <v>62.92132058006787</v>
      </c>
      <c r="AK53" s="5">
        <f t="shared" si="14"/>
        <v>37.08114779389077</v>
      </c>
      <c r="AL53" s="5">
        <f t="shared" si="15"/>
        <v>0</v>
      </c>
      <c r="AM53" s="5">
        <f t="shared" si="16"/>
        <v>0</v>
      </c>
      <c r="AN53" s="5">
        <f t="shared" si="17"/>
        <v>0</v>
      </c>
      <c r="AO53" s="5">
        <f t="shared" si="18"/>
        <v>0</v>
      </c>
      <c r="AQ53" s="4">
        <f t="shared" si="27"/>
        <v>0</v>
      </c>
      <c r="AR53" s="4">
        <f t="shared" si="28"/>
        <v>80</v>
      </c>
      <c r="AS53" s="4">
        <f t="shared" si="29"/>
        <v>0</v>
      </c>
      <c r="AT53" s="4">
        <f t="shared" si="30"/>
        <v>0</v>
      </c>
      <c r="AU53" s="4">
        <f t="shared" si="31"/>
        <v>53.964</v>
      </c>
      <c r="AV53" s="4">
        <f t="shared" si="32"/>
        <v>28.086</v>
      </c>
      <c r="AW53" s="4">
        <f t="shared" si="33"/>
        <v>0</v>
      </c>
      <c r="AX53" s="4">
        <f t="shared" si="34"/>
        <v>0</v>
      </c>
      <c r="AY53" s="4">
        <f t="shared" si="35"/>
        <v>0</v>
      </c>
      <c r="AZ53" s="4">
        <f t="shared" si="36"/>
        <v>0</v>
      </c>
      <c r="BA53" s="4">
        <f t="shared" si="19"/>
        <v>162.05</v>
      </c>
    </row>
    <row r="54" spans="1:53" ht="15.75">
      <c r="A54" s="21" t="s">
        <v>342</v>
      </c>
      <c r="B54" s="49">
        <v>162.006</v>
      </c>
      <c r="C54" s="96">
        <v>44.14</v>
      </c>
      <c r="D54" s="55">
        <v>3670</v>
      </c>
      <c r="E54" s="51">
        <v>0</v>
      </c>
      <c r="F54" s="52">
        <v>4.04E-05</v>
      </c>
      <c r="G54" s="52" t="s">
        <v>224</v>
      </c>
      <c r="H54" s="53">
        <v>156000000000</v>
      </c>
      <c r="I54" s="53" t="s">
        <v>238</v>
      </c>
      <c r="J54" s="56">
        <v>5.6</v>
      </c>
      <c r="K54" s="56" t="s">
        <v>238</v>
      </c>
      <c r="L54" s="53">
        <f>L53*H54/H53</f>
        <v>85061277058.8225</v>
      </c>
      <c r="M54" s="53" t="s">
        <v>246</v>
      </c>
      <c r="N54" s="96">
        <f t="shared" si="37"/>
        <v>6.609999999999999</v>
      </c>
      <c r="O54" s="49" t="s">
        <v>250</v>
      </c>
      <c r="P54" s="54">
        <f t="shared" si="26"/>
        <v>0.9087743275515224</v>
      </c>
      <c r="Q54" s="54" t="s">
        <v>13</v>
      </c>
      <c r="R54" s="68">
        <v>1.01</v>
      </c>
      <c r="S54" s="49" t="s">
        <v>4</v>
      </c>
      <c r="T54" s="68">
        <f>R54+J54</f>
        <v>6.609999999999999</v>
      </c>
      <c r="U54" s="54" t="s">
        <v>252</v>
      </c>
      <c r="W54" s="4">
        <v>5</v>
      </c>
      <c r="Z54" s="4">
        <v>2</v>
      </c>
      <c r="AA54" s="4">
        <v>1</v>
      </c>
      <c r="AG54" s="5">
        <f t="shared" si="10"/>
        <v>0</v>
      </c>
      <c r="AH54" s="5">
        <f t="shared" si="11"/>
        <v>0</v>
      </c>
      <c r="AI54" s="5">
        <f t="shared" si="12"/>
        <v>0</v>
      </c>
      <c r="AJ54" s="5">
        <f t="shared" si="13"/>
        <v>62.92132058006787</v>
      </c>
      <c r="AK54" s="5">
        <f t="shared" si="14"/>
        <v>37.08114779389077</v>
      </c>
      <c r="AL54" s="5">
        <f t="shared" si="15"/>
        <v>0</v>
      </c>
      <c r="AM54" s="5">
        <f t="shared" si="16"/>
        <v>0</v>
      </c>
      <c r="AN54" s="5">
        <f t="shared" si="17"/>
        <v>0</v>
      </c>
      <c r="AO54" s="5">
        <f t="shared" si="18"/>
        <v>0</v>
      </c>
      <c r="AQ54" s="4">
        <f t="shared" si="27"/>
        <v>0</v>
      </c>
      <c r="AR54" s="4">
        <f t="shared" si="28"/>
        <v>80</v>
      </c>
      <c r="AS54" s="4">
        <f t="shared" si="29"/>
        <v>0</v>
      </c>
      <c r="AT54" s="4">
        <f t="shared" si="30"/>
        <v>0</v>
      </c>
      <c r="AU54" s="4">
        <f t="shared" si="31"/>
        <v>53.964</v>
      </c>
      <c r="AV54" s="4">
        <f t="shared" si="32"/>
        <v>28.086</v>
      </c>
      <c r="AW54" s="4">
        <f t="shared" si="33"/>
        <v>0</v>
      </c>
      <c r="AX54" s="4">
        <f t="shared" si="34"/>
        <v>0</v>
      </c>
      <c r="AY54" s="4">
        <f t="shared" si="35"/>
        <v>0</v>
      </c>
      <c r="AZ54" s="4">
        <f t="shared" si="36"/>
        <v>0</v>
      </c>
      <c r="BA54" s="4">
        <f t="shared" si="19"/>
        <v>162.05</v>
      </c>
    </row>
    <row r="55" spans="1:53" ht="15.75">
      <c r="A55" s="21" t="s">
        <v>343</v>
      </c>
      <c r="B55" s="49">
        <v>142.27</v>
      </c>
      <c r="C55" s="96">
        <v>39.78</v>
      </c>
      <c r="D55" s="50">
        <v>3575</v>
      </c>
      <c r="E55" s="51">
        <v>0</v>
      </c>
      <c r="F55" s="52">
        <v>4.31E-05</v>
      </c>
      <c r="G55" s="52" t="s">
        <v>224</v>
      </c>
      <c r="H55" s="53">
        <v>196200000000</v>
      </c>
      <c r="I55" s="53" t="s">
        <v>242</v>
      </c>
      <c r="J55" s="50">
        <v>4</v>
      </c>
      <c r="K55" s="54" t="s">
        <v>236</v>
      </c>
      <c r="L55" s="53">
        <v>107810000000</v>
      </c>
      <c r="M55" s="53" t="s">
        <v>242</v>
      </c>
      <c r="N55" s="49">
        <v>4.2</v>
      </c>
      <c r="O55" s="49" t="s">
        <v>249</v>
      </c>
      <c r="P55" s="54">
        <f t="shared" si="26"/>
        <v>0.9158171933401291</v>
      </c>
      <c r="Q55" s="54" t="s">
        <v>13</v>
      </c>
      <c r="R55" s="54">
        <v>1.28</v>
      </c>
      <c r="S55" s="49" t="s">
        <v>236</v>
      </c>
      <c r="T55" s="54">
        <v>6.5</v>
      </c>
      <c r="U55" s="54" t="s">
        <v>236</v>
      </c>
      <c r="W55" s="4">
        <v>4</v>
      </c>
      <c r="Y55" s="4">
        <v>1</v>
      </c>
      <c r="Z55" s="4">
        <v>2</v>
      </c>
      <c r="AG55" s="5">
        <f t="shared" si="10"/>
        <v>0</v>
      </c>
      <c r="AH55" s="5">
        <f t="shared" si="11"/>
        <v>0</v>
      </c>
      <c r="AI55" s="5">
        <f t="shared" si="12"/>
        <v>28.333661334307962</v>
      </c>
      <c r="AJ55" s="5">
        <f t="shared" si="13"/>
        <v>71.66633866569202</v>
      </c>
      <c r="AK55" s="5">
        <f t="shared" si="14"/>
        <v>0</v>
      </c>
      <c r="AL55" s="5">
        <f t="shared" si="15"/>
        <v>0</v>
      </c>
      <c r="AM55" s="5">
        <f t="shared" si="16"/>
        <v>0</v>
      </c>
      <c r="AN55" s="5">
        <f t="shared" si="17"/>
        <v>0</v>
      </c>
      <c r="AO55" s="5">
        <f t="shared" si="18"/>
        <v>0</v>
      </c>
      <c r="AQ55" s="4">
        <f t="shared" si="27"/>
        <v>0</v>
      </c>
      <c r="AR55" s="4">
        <f t="shared" si="28"/>
        <v>64</v>
      </c>
      <c r="AS55" s="4">
        <f t="shared" si="29"/>
        <v>0</v>
      </c>
      <c r="AT55" s="4">
        <f t="shared" si="30"/>
        <v>24.312</v>
      </c>
      <c r="AU55" s="4">
        <f t="shared" si="31"/>
        <v>53.964</v>
      </c>
      <c r="AV55" s="4">
        <f t="shared" si="32"/>
        <v>0</v>
      </c>
      <c r="AW55" s="4">
        <f t="shared" si="33"/>
        <v>0</v>
      </c>
      <c r="AX55" s="4">
        <f t="shared" si="34"/>
        <v>0</v>
      </c>
      <c r="AY55" s="4">
        <f t="shared" si="35"/>
        <v>0</v>
      </c>
      <c r="AZ55" s="4">
        <f t="shared" si="36"/>
        <v>0</v>
      </c>
      <c r="BA55" s="4">
        <f t="shared" si="19"/>
        <v>142.276</v>
      </c>
    </row>
    <row r="56" spans="1:53" ht="15.75">
      <c r="A56" s="21" t="s">
        <v>344</v>
      </c>
      <c r="B56" s="49">
        <v>173.81</v>
      </c>
      <c r="C56" s="96">
        <v>40.75</v>
      </c>
      <c r="D56" s="50">
        <v>4264</v>
      </c>
      <c r="E56" s="51">
        <v>0</v>
      </c>
      <c r="F56" s="52">
        <v>3.95E-05</v>
      </c>
      <c r="G56" s="52" t="s">
        <v>224</v>
      </c>
      <c r="H56" s="53">
        <f>210300000000/(1+F56*0.42*R56*298)</f>
        <v>209008375267.72983</v>
      </c>
      <c r="I56" s="53" t="s">
        <v>229</v>
      </c>
      <c r="J56" s="50">
        <v>4</v>
      </c>
      <c r="K56" s="54" t="s">
        <v>110</v>
      </c>
      <c r="L56" s="53">
        <v>84500000000</v>
      </c>
      <c r="M56" s="53" t="s">
        <v>112</v>
      </c>
      <c r="N56" s="96">
        <f>T56</f>
        <v>5.25</v>
      </c>
      <c r="O56" s="49" t="s">
        <v>250</v>
      </c>
      <c r="P56" s="54">
        <f t="shared" si="26"/>
        <v>0.673816698268347</v>
      </c>
      <c r="Q56" s="54" t="s">
        <v>13</v>
      </c>
      <c r="R56" s="68">
        <v>1.25</v>
      </c>
      <c r="S56" s="49" t="s">
        <v>4</v>
      </c>
      <c r="T56" s="68">
        <f>R56+J56</f>
        <v>5.25</v>
      </c>
      <c r="U56" s="54" t="s">
        <v>252</v>
      </c>
      <c r="W56" s="4">
        <v>4</v>
      </c>
      <c r="Z56" s="4">
        <v>2</v>
      </c>
      <c r="AD56" s="4">
        <v>1</v>
      </c>
      <c r="AG56" s="5">
        <f t="shared" si="10"/>
        <v>0</v>
      </c>
      <c r="AH56" s="5">
        <f t="shared" si="11"/>
        <v>0</v>
      </c>
      <c r="AI56" s="5">
        <f t="shared" si="12"/>
        <v>0</v>
      </c>
      <c r="AJ56" s="5">
        <f t="shared" si="13"/>
        <v>58.66372093826052</v>
      </c>
      <c r="AK56" s="5">
        <f t="shared" si="14"/>
        <v>0</v>
      </c>
      <c r="AL56" s="5">
        <f t="shared" si="15"/>
        <v>0</v>
      </c>
      <c r="AM56" s="5">
        <f t="shared" si="16"/>
        <v>0</v>
      </c>
      <c r="AN56" s="5">
        <f t="shared" si="17"/>
        <v>41.338005074477444</v>
      </c>
      <c r="AO56" s="5">
        <f t="shared" si="18"/>
        <v>0</v>
      </c>
      <c r="AQ56" s="4">
        <f t="shared" si="27"/>
        <v>0</v>
      </c>
      <c r="AR56" s="4">
        <f t="shared" si="28"/>
        <v>64</v>
      </c>
      <c r="AS56" s="4">
        <f t="shared" si="29"/>
        <v>0</v>
      </c>
      <c r="AT56" s="4">
        <f t="shared" si="30"/>
        <v>0</v>
      </c>
      <c r="AU56" s="4">
        <f t="shared" si="31"/>
        <v>53.964</v>
      </c>
      <c r="AV56" s="4">
        <f t="shared" si="32"/>
        <v>0</v>
      </c>
      <c r="AW56" s="4">
        <f t="shared" si="33"/>
        <v>0</v>
      </c>
      <c r="AX56" s="4">
        <f t="shared" si="34"/>
        <v>0</v>
      </c>
      <c r="AY56" s="4">
        <f t="shared" si="35"/>
        <v>55.847</v>
      </c>
      <c r="AZ56" s="4">
        <f t="shared" si="36"/>
        <v>0</v>
      </c>
      <c r="BA56" s="4">
        <f t="shared" si="19"/>
        <v>173.811</v>
      </c>
    </row>
    <row r="57" spans="1:53" ht="15.75">
      <c r="A57" s="21" t="s">
        <v>345</v>
      </c>
      <c r="B57" s="49">
        <v>231.54</v>
      </c>
      <c r="C57" s="96">
        <v>44.52</v>
      </c>
      <c r="D57" s="50">
        <v>5201</v>
      </c>
      <c r="E57" s="51">
        <v>0</v>
      </c>
      <c r="F57" s="52">
        <v>6.96E-05</v>
      </c>
      <c r="G57" s="52" t="s">
        <v>224</v>
      </c>
      <c r="H57" s="67">
        <v>190900000000</v>
      </c>
      <c r="I57" s="67" t="s">
        <v>628</v>
      </c>
      <c r="J57" s="96">
        <v>5.2</v>
      </c>
      <c r="K57" s="67" t="s">
        <v>628</v>
      </c>
      <c r="L57" s="67">
        <v>60300000000</v>
      </c>
      <c r="M57" s="67" t="s">
        <v>628</v>
      </c>
      <c r="N57" s="96">
        <v>-0.1</v>
      </c>
      <c r="O57" s="67" t="s">
        <v>628</v>
      </c>
      <c r="P57" s="68">
        <f t="shared" si="26"/>
        <v>0.5264536406495547</v>
      </c>
      <c r="Q57" s="54" t="s">
        <v>13</v>
      </c>
      <c r="R57" s="68">
        <v>2.15</v>
      </c>
      <c r="S57" s="49" t="s">
        <v>4</v>
      </c>
      <c r="T57" s="68">
        <f>R57+J57</f>
        <v>7.35</v>
      </c>
      <c r="U57" s="54" t="s">
        <v>252</v>
      </c>
      <c r="W57" s="4">
        <v>4</v>
      </c>
      <c r="AD57" s="4">
        <v>3</v>
      </c>
      <c r="AG57" s="5">
        <f t="shared" si="10"/>
        <v>0</v>
      </c>
      <c r="AH57" s="5">
        <f t="shared" si="11"/>
        <v>0</v>
      </c>
      <c r="AI57" s="5">
        <f t="shared" si="12"/>
        <v>0</v>
      </c>
      <c r="AJ57" s="5">
        <f t="shared" si="13"/>
        <v>0</v>
      </c>
      <c r="AK57" s="5">
        <f t="shared" si="14"/>
        <v>0</v>
      </c>
      <c r="AL57" s="5">
        <f t="shared" si="15"/>
        <v>0</v>
      </c>
      <c r="AM57" s="5">
        <f t="shared" si="16"/>
        <v>0</v>
      </c>
      <c r="AN57" s="5">
        <f t="shared" si="17"/>
        <v>93.09366375717475</v>
      </c>
      <c r="AO57" s="5">
        <f t="shared" si="18"/>
        <v>0</v>
      </c>
      <c r="AQ57" s="4">
        <f t="shared" si="27"/>
        <v>0</v>
      </c>
      <c r="AR57" s="4">
        <f t="shared" si="28"/>
        <v>64</v>
      </c>
      <c r="AS57" s="4">
        <f t="shared" si="29"/>
        <v>0</v>
      </c>
      <c r="AT57" s="4">
        <f t="shared" si="30"/>
        <v>0</v>
      </c>
      <c r="AU57" s="4">
        <f t="shared" si="31"/>
        <v>0</v>
      </c>
      <c r="AV57" s="4">
        <f t="shared" si="32"/>
        <v>0</v>
      </c>
      <c r="AW57" s="4">
        <f t="shared" si="33"/>
        <v>0</v>
      </c>
      <c r="AX57" s="4">
        <f t="shared" si="34"/>
        <v>0</v>
      </c>
      <c r="AY57" s="4">
        <f t="shared" si="35"/>
        <v>167.541</v>
      </c>
      <c r="AZ57" s="4">
        <f t="shared" si="36"/>
        <v>0</v>
      </c>
      <c r="BA57" s="4">
        <f t="shared" si="19"/>
        <v>231.541</v>
      </c>
    </row>
    <row r="58" spans="1:53" ht="15.75">
      <c r="A58" s="21" t="s">
        <v>171</v>
      </c>
      <c r="B58" s="49">
        <v>100.09</v>
      </c>
      <c r="C58" s="96">
        <v>36.89</v>
      </c>
      <c r="D58" s="50">
        <v>2713</v>
      </c>
      <c r="E58" s="51">
        <v>0</v>
      </c>
      <c r="F58" s="52">
        <v>4.4E-05</v>
      </c>
      <c r="G58" s="52" t="s">
        <v>224</v>
      </c>
      <c r="H58" s="53">
        <v>73460000000</v>
      </c>
      <c r="I58" s="53" t="s">
        <v>237</v>
      </c>
      <c r="J58" s="50">
        <v>4</v>
      </c>
      <c r="K58" s="54" t="s">
        <v>237</v>
      </c>
      <c r="L58" s="53">
        <v>32000000000</v>
      </c>
      <c r="M58" s="53" t="s">
        <v>112</v>
      </c>
      <c r="N58" s="96">
        <f>T58</f>
        <v>4.73</v>
      </c>
      <c r="O58" s="49" t="s">
        <v>250</v>
      </c>
      <c r="P58" s="54">
        <f t="shared" si="26"/>
        <v>0.7260186949813958</v>
      </c>
      <c r="Q58" s="54" t="s">
        <v>13</v>
      </c>
      <c r="R58" s="68">
        <v>0.73</v>
      </c>
      <c r="S58" s="49" t="s">
        <v>4</v>
      </c>
      <c r="T58" s="68">
        <f>R58+J58</f>
        <v>4.73</v>
      </c>
      <c r="U58" s="54" t="s">
        <v>252</v>
      </c>
      <c r="W58" s="4">
        <v>3</v>
      </c>
      <c r="AC58" s="4">
        <v>1</v>
      </c>
      <c r="AE58" s="4">
        <v>1</v>
      </c>
      <c r="AG58" s="5">
        <f t="shared" si="10"/>
        <v>0</v>
      </c>
      <c r="AH58" s="5">
        <f t="shared" si="11"/>
        <v>0</v>
      </c>
      <c r="AI58" s="5">
        <f t="shared" si="12"/>
        <v>0</v>
      </c>
      <c r="AJ58" s="5">
        <f t="shared" si="13"/>
        <v>0</v>
      </c>
      <c r="AK58" s="5">
        <f t="shared" si="14"/>
        <v>0</v>
      </c>
      <c r="AL58" s="5">
        <f t="shared" si="15"/>
        <v>0</v>
      </c>
      <c r="AM58" s="5">
        <f t="shared" si="16"/>
        <v>56.02901359762616</v>
      </c>
      <c r="AN58" s="5">
        <f t="shared" si="17"/>
        <v>0</v>
      </c>
      <c r="AO58" s="5">
        <f t="shared" si="18"/>
        <v>43.970986402373846</v>
      </c>
      <c r="AQ58" s="4">
        <f t="shared" si="27"/>
        <v>0</v>
      </c>
      <c r="AR58" s="4">
        <f t="shared" si="28"/>
        <v>48</v>
      </c>
      <c r="AS58" s="4">
        <f t="shared" si="29"/>
        <v>0</v>
      </c>
      <c r="AT58" s="4">
        <f t="shared" si="30"/>
        <v>0</v>
      </c>
      <c r="AU58" s="4">
        <f t="shared" si="31"/>
        <v>0</v>
      </c>
      <c r="AV58" s="4">
        <f t="shared" si="32"/>
        <v>0</v>
      </c>
      <c r="AW58" s="4">
        <f t="shared" si="33"/>
        <v>0</v>
      </c>
      <c r="AX58" s="4">
        <f t="shared" si="34"/>
        <v>40.08</v>
      </c>
      <c r="AY58" s="4">
        <f t="shared" si="35"/>
        <v>0</v>
      </c>
      <c r="AZ58" s="4">
        <f t="shared" si="36"/>
        <v>12.011</v>
      </c>
      <c r="BA58" s="4">
        <f t="shared" si="19"/>
        <v>100.091</v>
      </c>
    </row>
    <row r="59" spans="1:53" ht="15.75">
      <c r="A59" s="21" t="s">
        <v>337</v>
      </c>
      <c r="B59" s="49">
        <v>100.09</v>
      </c>
      <c r="C59" s="96">
        <v>34.15</v>
      </c>
      <c r="D59" s="50">
        <v>2931</v>
      </c>
      <c r="E59" s="51">
        <v>0</v>
      </c>
      <c r="F59" s="52">
        <v>0.000115</v>
      </c>
      <c r="G59" s="52" t="s">
        <v>224</v>
      </c>
      <c r="H59" s="53">
        <f>46900000000/(1+F59*0.42*R59*298)</f>
        <v>45850683898.53596</v>
      </c>
      <c r="I59" s="53" t="s">
        <v>229</v>
      </c>
      <c r="J59" s="50">
        <v>4</v>
      </c>
      <c r="K59" s="54" t="s">
        <v>110</v>
      </c>
      <c r="L59" s="53">
        <v>38500000000</v>
      </c>
      <c r="M59" s="53" t="s">
        <v>112</v>
      </c>
      <c r="N59" s="96">
        <f>T59</f>
        <v>5.59</v>
      </c>
      <c r="O59" s="49" t="s">
        <v>250</v>
      </c>
      <c r="P59" s="54">
        <f t="shared" si="26"/>
        <v>1.399470219651741</v>
      </c>
      <c r="Q59" s="54" t="s">
        <v>13</v>
      </c>
      <c r="R59" s="68">
        <v>1.59</v>
      </c>
      <c r="S59" s="49" t="s">
        <v>4</v>
      </c>
      <c r="T59" s="68">
        <f>R59+J59</f>
        <v>5.59</v>
      </c>
      <c r="U59" s="54" t="s">
        <v>252</v>
      </c>
      <c r="W59" s="4">
        <v>3</v>
      </c>
      <c r="AC59" s="4">
        <v>1</v>
      </c>
      <c r="AE59" s="4">
        <v>1</v>
      </c>
      <c r="AG59" s="5">
        <f t="shared" si="10"/>
        <v>0</v>
      </c>
      <c r="AH59" s="5">
        <f t="shared" si="11"/>
        <v>0</v>
      </c>
      <c r="AI59" s="5">
        <f t="shared" si="12"/>
        <v>0</v>
      </c>
      <c r="AJ59" s="5">
        <f t="shared" si="13"/>
        <v>0</v>
      </c>
      <c r="AK59" s="5">
        <f t="shared" si="14"/>
        <v>0</v>
      </c>
      <c r="AL59" s="5">
        <f t="shared" si="15"/>
        <v>0</v>
      </c>
      <c r="AM59" s="5">
        <f t="shared" si="16"/>
        <v>56.02901359762616</v>
      </c>
      <c r="AN59" s="5">
        <f t="shared" si="17"/>
        <v>0</v>
      </c>
      <c r="AO59" s="5">
        <f t="shared" si="18"/>
        <v>43.970986402373846</v>
      </c>
      <c r="AQ59" s="4">
        <f t="shared" si="27"/>
        <v>0</v>
      </c>
      <c r="AR59" s="4">
        <f t="shared" si="28"/>
        <v>48</v>
      </c>
      <c r="AS59" s="4">
        <f t="shared" si="29"/>
        <v>0</v>
      </c>
      <c r="AT59" s="4">
        <f t="shared" si="30"/>
        <v>0</v>
      </c>
      <c r="AU59" s="4">
        <f t="shared" si="31"/>
        <v>0</v>
      </c>
      <c r="AV59" s="4">
        <f t="shared" si="32"/>
        <v>0</v>
      </c>
      <c r="AW59" s="4">
        <f t="shared" si="33"/>
        <v>0</v>
      </c>
      <c r="AX59" s="4">
        <f t="shared" si="34"/>
        <v>40.08</v>
      </c>
      <c r="AY59" s="4">
        <f t="shared" si="35"/>
        <v>0</v>
      </c>
      <c r="AZ59" s="4">
        <f t="shared" si="36"/>
        <v>12.011</v>
      </c>
      <c r="BA59" s="4">
        <f t="shared" si="19"/>
        <v>100.091</v>
      </c>
    </row>
    <row r="60" spans="1:53" ht="15.75">
      <c r="A60" s="161" t="s">
        <v>596</v>
      </c>
      <c r="B60" s="96">
        <v>84.3</v>
      </c>
      <c r="C60" s="96">
        <v>28.03</v>
      </c>
      <c r="D60" s="97">
        <v>3007</v>
      </c>
      <c r="E60" s="152">
        <v>0</v>
      </c>
      <c r="F60" s="98">
        <v>6.48E-05</v>
      </c>
      <c r="G60" s="98" t="s">
        <v>224</v>
      </c>
      <c r="H60" s="67">
        <v>97100000000</v>
      </c>
      <c r="I60" s="67" t="s">
        <v>594</v>
      </c>
      <c r="J60" s="68">
        <v>5.44</v>
      </c>
      <c r="K60" s="67" t="s">
        <v>594</v>
      </c>
      <c r="L60" s="67">
        <v>58000000000</v>
      </c>
      <c r="M60" s="67" t="s">
        <v>584</v>
      </c>
      <c r="N60" s="96">
        <f>T60</f>
        <v>3.3</v>
      </c>
      <c r="O60" s="49" t="s">
        <v>250</v>
      </c>
      <c r="P60" s="68">
        <f>(5*L60)/(3*H60)</f>
        <v>0.9955372468245794</v>
      </c>
      <c r="Q60" s="68" t="s">
        <v>13</v>
      </c>
      <c r="R60" s="68">
        <v>1.58</v>
      </c>
      <c r="S60" s="96" t="s">
        <v>4</v>
      </c>
      <c r="T60" s="68">
        <v>3.3</v>
      </c>
      <c r="U60" s="67" t="s">
        <v>594</v>
      </c>
      <c r="W60" s="4">
        <v>3</v>
      </c>
      <c r="Y60" s="4">
        <v>1</v>
      </c>
      <c r="AE60" s="4">
        <v>1</v>
      </c>
      <c r="AG60" s="5">
        <f>100*V60*oxideH/$BA60</f>
        <v>0</v>
      </c>
      <c r="AH60" s="5">
        <f>100*X60*oxideNa/$BA60</f>
        <v>0</v>
      </c>
      <c r="AI60" s="5">
        <f>100*Y60*oxideMg/$BA60</f>
        <v>47.80664824543719</v>
      </c>
      <c r="AJ60" s="5">
        <f>100*Z60*oxideAl/$BA60</f>
        <v>0</v>
      </c>
      <c r="AK60" s="5">
        <f>100*AA60*oxideSi/$BA60</f>
        <v>0</v>
      </c>
      <c r="AL60" s="5">
        <f>100*AB60*oxideK/$BA60</f>
        <v>0</v>
      </c>
      <c r="AM60" s="5">
        <f>100*AC60*oxideCa/$BA60</f>
        <v>0</v>
      </c>
      <c r="AN60" s="5">
        <f>100*AD60*oxideFe/$BA60</f>
        <v>0</v>
      </c>
      <c r="AO60" s="5">
        <f>100*AE60*oxideC/$BA60</f>
        <v>52.19335175456282</v>
      </c>
      <c r="AQ60" s="4">
        <f>V60*atwtH</f>
        <v>0</v>
      </c>
      <c r="AR60" s="4">
        <f>W60*atwtO</f>
        <v>48</v>
      </c>
      <c r="AS60" s="4">
        <f>X60*atwtNa</f>
        <v>0</v>
      </c>
      <c r="AT60" s="4">
        <f>Y60*atwtMg</f>
        <v>24.312</v>
      </c>
      <c r="AU60" s="4">
        <f>Z60*atwtAl</f>
        <v>0</v>
      </c>
      <c r="AV60" s="4">
        <f>AA60*atwtSi</f>
        <v>0</v>
      </c>
      <c r="AW60" s="4">
        <f>AB60*atwtK</f>
        <v>0</v>
      </c>
      <c r="AX60" s="4">
        <f>AC60*atwtCa</f>
        <v>0</v>
      </c>
      <c r="AY60" s="4">
        <f>AD60*atwtFe</f>
        <v>0</v>
      </c>
      <c r="AZ60" s="4">
        <f>AE60*atwtC</f>
        <v>12.011</v>
      </c>
      <c r="BA60" s="4">
        <f>SUM(AQ60:AZ60)</f>
        <v>84.323</v>
      </c>
    </row>
    <row r="61" spans="1:5" ht="15.75">
      <c r="A61" s="57" t="s">
        <v>94</v>
      </c>
      <c r="B61" s="71" t="s">
        <v>194</v>
      </c>
      <c r="C61" s="71" t="s">
        <v>194</v>
      </c>
      <c r="D61" s="72" t="s">
        <v>194</v>
      </c>
      <c r="E61" s="10" t="s">
        <v>194</v>
      </c>
    </row>
    <row r="62" spans="2:15" ht="15">
      <c r="B62" s="92" t="s">
        <v>500</v>
      </c>
      <c r="H62" s="53" t="s">
        <v>642</v>
      </c>
      <c r="I62" s="53"/>
      <c r="K62" s="102" t="s">
        <v>508</v>
      </c>
      <c r="L62" s="102"/>
      <c r="N62" s="47" t="s">
        <v>329</v>
      </c>
      <c r="O62" s="47"/>
    </row>
    <row r="63" spans="6:15" ht="15">
      <c r="F63" s="3"/>
      <c r="H63" s="172" t="s">
        <v>401</v>
      </c>
      <c r="I63" s="172" t="s">
        <v>185</v>
      </c>
      <c r="K63" s="102" t="s">
        <v>401</v>
      </c>
      <c r="L63" s="102" t="s">
        <v>178</v>
      </c>
      <c r="N63" s="47" t="s">
        <v>156</v>
      </c>
      <c r="O63" s="47" t="s">
        <v>271</v>
      </c>
    </row>
    <row r="64" spans="2:15" ht="15">
      <c r="B64" s="1" t="s">
        <v>583</v>
      </c>
      <c r="H64" s="173">
        <v>65</v>
      </c>
      <c r="I64" s="174">
        <v>0.306</v>
      </c>
      <c r="K64" s="103">
        <v>123</v>
      </c>
      <c r="L64" s="103">
        <v>67</v>
      </c>
      <c r="N64" s="45">
        <v>5.8</v>
      </c>
      <c r="O64" s="45">
        <v>4.4</v>
      </c>
    </row>
    <row r="65" spans="8:15" ht="15">
      <c r="H65" s="172" t="s">
        <v>178</v>
      </c>
      <c r="I65" s="173">
        <f>(3*H64-6*H64*I64)/(2*I64+2)</f>
        <v>28.966309341500764</v>
      </c>
      <c r="K65" s="102" t="s">
        <v>329</v>
      </c>
      <c r="L65" s="114">
        <f>(3*K64-2*L64)/(6*K64+2*L64)</f>
        <v>0.2694954128440367</v>
      </c>
      <c r="N65" s="47" t="s">
        <v>329</v>
      </c>
      <c r="O65" s="45">
        <f>((N64/O64)^2-2)/(2*((N64/O64)^2-1))</f>
        <v>-0.17787114845938382</v>
      </c>
    </row>
    <row r="66" spans="14:15" ht="15">
      <c r="N66" s="47" t="s">
        <v>422</v>
      </c>
      <c r="O66" s="45">
        <f>N64/O64</f>
        <v>1.3181818181818181</v>
      </c>
    </row>
    <row r="67" ht="15"/>
    <row r="68" ht="15">
      <c r="B68" s="1" t="s">
        <v>665</v>
      </c>
    </row>
    <row r="69" spans="1:58" ht="15.75">
      <c r="A69" s="161" t="s">
        <v>545</v>
      </c>
      <c r="B69" s="96">
        <v>206.8</v>
      </c>
      <c r="C69" s="96">
        <f>1000*B69/D69</f>
        <v>62.552934059286144</v>
      </c>
      <c r="D69" s="97">
        <v>3306</v>
      </c>
      <c r="E69" s="100">
        <v>0</v>
      </c>
      <c r="F69" s="98">
        <f>0.79*F18+0.09*F19+0.12*F20</f>
        <v>5.1679E-05</v>
      </c>
      <c r="G69" s="98" t="s">
        <v>548</v>
      </c>
      <c r="H69" s="67">
        <f>115400000000/(1+F69*0.42*R69*298)</f>
        <v>114695228050.63861</v>
      </c>
      <c r="I69" s="67" t="s">
        <v>529</v>
      </c>
      <c r="J69" s="68">
        <v>7.82</v>
      </c>
      <c r="K69" s="67" t="s">
        <v>529</v>
      </c>
      <c r="L69" s="67">
        <v>77900000000</v>
      </c>
      <c r="M69" s="67" t="s">
        <v>529</v>
      </c>
      <c r="N69" s="96">
        <f aca="true" t="shared" si="38" ref="N69:N74">T69</f>
        <v>8.77</v>
      </c>
      <c r="O69" s="96" t="s">
        <v>250</v>
      </c>
      <c r="P69" s="68">
        <v>1.44</v>
      </c>
      <c r="Q69" s="67" t="s">
        <v>529</v>
      </c>
      <c r="R69" s="68">
        <f>R18</f>
        <v>0.95</v>
      </c>
      <c r="S69" s="67" t="s">
        <v>526</v>
      </c>
      <c r="T69" s="68">
        <f aca="true" t="shared" si="39" ref="T69:T74">R69+J69</f>
        <v>8.77</v>
      </c>
      <c r="U69" s="68" t="s">
        <v>252</v>
      </c>
      <c r="V69" s="105"/>
      <c r="W69" s="4">
        <v>6</v>
      </c>
      <c r="X69" s="104"/>
      <c r="Y69" s="104">
        <v>1.63</v>
      </c>
      <c r="Z69" s="104">
        <v>0.24</v>
      </c>
      <c r="AA69" s="4">
        <v>1.89</v>
      </c>
      <c r="AB69" s="104"/>
      <c r="AC69" s="104">
        <v>0.04</v>
      </c>
      <c r="AD69" s="104">
        <v>0.18</v>
      </c>
      <c r="AE69" s="104"/>
      <c r="AF69" s="104"/>
      <c r="AG69" s="5">
        <f>100*V69*oxideH/$BA69</f>
        <v>0</v>
      </c>
      <c r="AH69" s="5">
        <f>100*X69*oxideNa/$BA69</f>
        <v>0</v>
      </c>
      <c r="AI69" s="5">
        <f>100*Y69*oxideMg/$BA69</f>
        <v>31.76744579110554</v>
      </c>
      <c r="AJ69" s="5">
        <f>100*Z69*oxideAl/$BA69</f>
        <v>5.915459129180646</v>
      </c>
      <c r="AK69" s="5">
        <f>100*AA69*oxideSi/$BA69</f>
        <v>54.906575265695</v>
      </c>
      <c r="AL69" s="5">
        <f>100*AB69*oxideK/$BA69</f>
        <v>0</v>
      </c>
      <c r="AM69" s="5">
        <f>100*AC69*oxideCa/$BA69</f>
        <v>1.0844969726715659</v>
      </c>
      <c r="AN69" s="5">
        <f>100*AD69*oxideFe/$BA69</f>
        <v>6.252585301159666</v>
      </c>
      <c r="AO69" s="5">
        <f>100*AE69*oxideC/$BA69</f>
        <v>0</v>
      </c>
      <c r="AQ69" s="4">
        <f>V69*atwtH</f>
        <v>0</v>
      </c>
      <c r="AR69" s="4">
        <f>W69*atwtO</f>
        <v>96</v>
      </c>
      <c r="AS69" s="4">
        <f>X69*atwtNa</f>
        <v>0</v>
      </c>
      <c r="AT69" s="4">
        <f>Y69*atwtMg</f>
        <v>39.62856</v>
      </c>
      <c r="AU69" s="4">
        <f>Z69*atwtAl</f>
        <v>6.47568</v>
      </c>
      <c r="AV69" s="4">
        <f>AA69*atwtSi</f>
        <v>53.082539999999995</v>
      </c>
      <c r="AW69" s="4">
        <f>AB69*atwtK</f>
        <v>0</v>
      </c>
      <c r="AX69" s="4">
        <f>AC69*atwtCa</f>
        <v>1.6032</v>
      </c>
      <c r="AY69" s="4">
        <f>AD69*atwtFe</f>
        <v>10.05246</v>
      </c>
      <c r="AZ69" s="4">
        <f>AE69*atwtC</f>
        <v>0</v>
      </c>
      <c r="BA69" s="4">
        <f>SUM(AQ69:AZ69)</f>
        <v>206.84243999999998</v>
      </c>
      <c r="BB69" s="104"/>
      <c r="BC69" s="104"/>
      <c r="BD69" s="104"/>
      <c r="BE69" s="104"/>
      <c r="BF69" s="104"/>
    </row>
    <row r="70" spans="1:58" ht="15.75">
      <c r="A70" s="161" t="s">
        <v>544</v>
      </c>
      <c r="B70" s="96">
        <v>219.6</v>
      </c>
      <c r="C70" s="96">
        <v>66</v>
      </c>
      <c r="D70" s="97">
        <v>3327</v>
      </c>
      <c r="E70" s="100">
        <v>0</v>
      </c>
      <c r="F70" s="98">
        <f>0.75*F21+0.09*F22+0.03*F23+0.12*F25</f>
        <v>5.4594000000000006E-05</v>
      </c>
      <c r="G70" s="98" t="s">
        <v>548</v>
      </c>
      <c r="H70" s="67">
        <f>117200000000/(1+F70*0.42*R70*298)</f>
        <v>116325663330.96063</v>
      </c>
      <c r="I70" s="67" t="s">
        <v>523</v>
      </c>
      <c r="J70" s="96">
        <v>4.8</v>
      </c>
      <c r="K70" s="68" t="s">
        <v>110</v>
      </c>
      <c r="L70" s="67">
        <v>72200000000</v>
      </c>
      <c r="M70" s="67" t="s">
        <v>523</v>
      </c>
      <c r="N70" s="96">
        <f t="shared" si="38"/>
        <v>5.9</v>
      </c>
      <c r="O70" s="96" t="s">
        <v>250</v>
      </c>
      <c r="P70" s="68">
        <f>P22</f>
        <v>1.9</v>
      </c>
      <c r="Q70" s="67" t="s">
        <v>525</v>
      </c>
      <c r="R70" s="68">
        <f>R21</f>
        <v>1.1</v>
      </c>
      <c r="S70" s="67" t="s">
        <v>525</v>
      </c>
      <c r="T70" s="68">
        <f t="shared" si="39"/>
        <v>5.9</v>
      </c>
      <c r="U70" s="68" t="s">
        <v>252</v>
      </c>
      <c r="V70" s="105"/>
      <c r="W70" s="4">
        <v>6</v>
      </c>
      <c r="X70" s="104"/>
      <c r="Y70" s="104">
        <v>0.75</v>
      </c>
      <c r="Z70" s="104">
        <v>0.32</v>
      </c>
      <c r="AA70" s="4">
        <v>1.84</v>
      </c>
      <c r="AB70" s="104"/>
      <c r="AC70" s="104">
        <v>1</v>
      </c>
      <c r="AD70" s="104">
        <v>0.09</v>
      </c>
      <c r="AE70" s="104"/>
      <c r="AF70" s="104"/>
      <c r="AG70" s="5">
        <f>100*V70*oxideH/$BA70</f>
        <v>0</v>
      </c>
      <c r="AH70" s="5">
        <f>100*X70*oxideNa/$BA70</f>
        <v>0</v>
      </c>
      <c r="AI70" s="5">
        <f>100*Y70*oxideMg/$BA70</f>
        <v>13.764455717391328</v>
      </c>
      <c r="AJ70" s="5">
        <f>100*Z70*oxideAl/$BA70</f>
        <v>7.42728828613132</v>
      </c>
      <c r="AK70" s="5">
        <f>100*AA70*oxideSi/$BA70</f>
        <v>50.33655173205011</v>
      </c>
      <c r="AL70" s="5">
        <f>100*AB70*oxideK/$BA70</f>
        <v>0</v>
      </c>
      <c r="AM70" s="5">
        <f>100*AC70*oxideCa/$BA70</f>
        <v>25.53121243075034</v>
      </c>
      <c r="AN70" s="5">
        <f>100*AD70*oxideFe/$BA70</f>
        <v>2.943965498991567</v>
      </c>
      <c r="AO70" s="5">
        <f>100*AE70*oxideC/$BA70</f>
        <v>0</v>
      </c>
      <c r="AQ70" s="4">
        <f>V70*atwtH</f>
        <v>0</v>
      </c>
      <c r="AR70" s="4">
        <f>W70*atwtO</f>
        <v>96</v>
      </c>
      <c r="AS70" s="4">
        <f>X70*atwtNa</f>
        <v>0</v>
      </c>
      <c r="AT70" s="4">
        <f>Y70*atwtMg</f>
        <v>18.234</v>
      </c>
      <c r="AU70" s="4">
        <f>Z70*atwtAl</f>
        <v>8.63424</v>
      </c>
      <c r="AV70" s="4">
        <f>AA70*atwtSi</f>
        <v>51.67824</v>
      </c>
      <c r="AW70" s="4">
        <f>AB70*atwtK</f>
        <v>0</v>
      </c>
      <c r="AX70" s="4">
        <f>AC70*atwtCa</f>
        <v>40.08</v>
      </c>
      <c r="AY70" s="4">
        <f>AD70*atwtFe</f>
        <v>5.02623</v>
      </c>
      <c r="AZ70" s="4">
        <f>AE70*atwtC</f>
        <v>0</v>
      </c>
      <c r="BA70" s="4">
        <f>SUM(AQ70:AZ70)</f>
        <v>219.65271</v>
      </c>
      <c r="BB70" s="104"/>
      <c r="BC70" s="104"/>
      <c r="BD70" s="104"/>
      <c r="BE70" s="104"/>
      <c r="BF70" s="104"/>
    </row>
    <row r="71" spans="1:58" ht="15.75">
      <c r="A71" s="161" t="s">
        <v>501</v>
      </c>
      <c r="B71" s="96">
        <v>151.7</v>
      </c>
      <c r="C71" s="96">
        <v>31.69</v>
      </c>
      <c r="D71" s="97">
        <v>4788</v>
      </c>
      <c r="E71" s="100">
        <v>0</v>
      </c>
      <c r="F71" s="98">
        <v>4.95E-05</v>
      </c>
      <c r="G71" s="98" t="s">
        <v>224</v>
      </c>
      <c r="H71" s="67">
        <v>165000000000</v>
      </c>
      <c r="I71" s="67" t="s">
        <v>666</v>
      </c>
      <c r="J71" s="68">
        <v>3</v>
      </c>
      <c r="K71" s="67" t="s">
        <v>666</v>
      </c>
      <c r="L71" s="67">
        <v>74700000000</v>
      </c>
      <c r="M71" s="67" t="s">
        <v>668</v>
      </c>
      <c r="N71" s="96">
        <f t="shared" si="38"/>
        <v>4.5600000000000005</v>
      </c>
      <c r="O71" s="96" t="s">
        <v>250</v>
      </c>
      <c r="P71" s="68">
        <v>1.7</v>
      </c>
      <c r="Q71" s="68" t="s">
        <v>668</v>
      </c>
      <c r="R71" s="68">
        <v>1.56</v>
      </c>
      <c r="S71" s="96" t="s">
        <v>4</v>
      </c>
      <c r="T71" s="68">
        <f t="shared" si="39"/>
        <v>4.5600000000000005</v>
      </c>
      <c r="U71" s="68" t="s">
        <v>252</v>
      </c>
      <c r="V71" s="105"/>
      <c r="W71" s="104">
        <v>3</v>
      </c>
      <c r="X71" s="104"/>
      <c r="Y71" s="104"/>
      <c r="Z71" s="104"/>
      <c r="AA71" s="104"/>
      <c r="AB71" s="104"/>
      <c r="AC71" s="104"/>
      <c r="AD71" s="104">
        <v>1</v>
      </c>
      <c r="AE71" s="104"/>
      <c r="AF71" s="104"/>
      <c r="AG71" s="5">
        <f>100*V71*oxideH/$BA71</f>
        <v>0</v>
      </c>
      <c r="AH71" s="5">
        <f>100*X71*oxideNa/$BA71</f>
        <v>0</v>
      </c>
      <c r="AI71" s="5">
        <f>100*Y71*oxideMg/$BA71</f>
        <v>0</v>
      </c>
      <c r="AJ71" s="5">
        <f>100*Z71*oxideAl/$BA71</f>
        <v>0</v>
      </c>
      <c r="AK71" s="5">
        <f>100*AA71*oxideSi/$BA71</f>
        <v>0</v>
      </c>
      <c r="AL71" s="5">
        <f>100*AB71*oxideK/$BA71</f>
        <v>0</v>
      </c>
      <c r="AM71" s="5">
        <f>100*AC71*oxideCa/$BA71</f>
        <v>0</v>
      </c>
      <c r="AN71" s="5">
        <f>100*AD71*oxideFe/$BA71</f>
        <v>69.18832513216557</v>
      </c>
      <c r="AO71" s="5">
        <f>100*AE71*oxideC/$BA71</f>
        <v>0</v>
      </c>
      <c r="AQ71" s="4">
        <f>V71*atwtH</f>
        <v>0</v>
      </c>
      <c r="AR71" s="4">
        <f>W71*atwtO</f>
        <v>48</v>
      </c>
      <c r="AS71" s="4">
        <f>X71*atwtNa</f>
        <v>0</v>
      </c>
      <c r="AT71" s="4">
        <f>Y71*atwtMg</f>
        <v>0</v>
      </c>
      <c r="AU71" s="4">
        <f>Z71*atwtAl</f>
        <v>0</v>
      </c>
      <c r="AV71" s="4">
        <f>AA71*atwtSi</f>
        <v>0</v>
      </c>
      <c r="AW71" s="4">
        <f>AB71*atwtK</f>
        <v>0</v>
      </c>
      <c r="AX71" s="4">
        <f>AC71*atwtCa</f>
        <v>0</v>
      </c>
      <c r="AY71" s="4">
        <f>AD71*atwtFe</f>
        <v>55.847</v>
      </c>
      <c r="AZ71" s="4">
        <f>AE71*atwtC</f>
        <v>0</v>
      </c>
      <c r="BA71" s="4">
        <f>SUM(AQ71:AZ71)</f>
        <v>103.84700000000001</v>
      </c>
      <c r="BB71" s="104"/>
      <c r="BC71" s="104"/>
      <c r="BD71" s="104"/>
      <c r="BE71" s="104"/>
      <c r="BF71" s="104"/>
    </row>
    <row r="72" spans="1:22" s="92" customFormat="1" ht="15.75">
      <c r="A72" s="161" t="s">
        <v>630</v>
      </c>
      <c r="B72" s="96">
        <v>611.1</v>
      </c>
      <c r="C72" s="96">
        <v>23.3</v>
      </c>
      <c r="D72" s="152">
        <v>2623</v>
      </c>
      <c r="E72" s="152"/>
      <c r="F72" s="98">
        <v>5.2E-06</v>
      </c>
      <c r="G72" s="98" t="s">
        <v>224</v>
      </c>
      <c r="H72" s="67">
        <f>129000000000/(1+F72*0.42*R72*298)</f>
        <v>128988247044.9679</v>
      </c>
      <c r="I72" s="67" t="s">
        <v>631</v>
      </c>
      <c r="J72" s="97">
        <v>4</v>
      </c>
      <c r="K72" s="68" t="s">
        <v>110</v>
      </c>
      <c r="L72" s="67">
        <v>54000000000</v>
      </c>
      <c r="M72" s="67" t="s">
        <v>631</v>
      </c>
      <c r="N72" s="96">
        <f t="shared" si="38"/>
        <v>4.14</v>
      </c>
      <c r="O72" s="96" t="s">
        <v>250</v>
      </c>
      <c r="P72" s="68">
        <f>(5*L72)/(3*H72)</f>
        <v>0.6977379882418604</v>
      </c>
      <c r="Q72" s="68" t="s">
        <v>13</v>
      </c>
      <c r="R72" s="68">
        <v>0.14</v>
      </c>
      <c r="S72" s="96" t="s">
        <v>4</v>
      </c>
      <c r="T72" s="68">
        <f t="shared" si="39"/>
        <v>4.14</v>
      </c>
      <c r="U72" s="68" t="s">
        <v>252</v>
      </c>
      <c r="V72" s="99"/>
    </row>
    <row r="73" spans="1:31" s="92" customFormat="1" ht="15.75">
      <c r="A73" s="161" t="s">
        <v>637</v>
      </c>
      <c r="B73" s="96">
        <v>93.46</v>
      </c>
      <c r="C73" s="96">
        <v>339.85</v>
      </c>
      <c r="D73" s="152">
        <v>2750</v>
      </c>
      <c r="E73" s="152">
        <v>0</v>
      </c>
      <c r="F73" s="98">
        <v>3.16E-05</v>
      </c>
      <c r="G73" s="98" t="s">
        <v>224</v>
      </c>
      <c r="H73" s="67">
        <f>65000000000/(1+F73*0.42*R73*298)</f>
        <v>64846117983.196304</v>
      </c>
      <c r="I73" s="67" t="s">
        <v>636</v>
      </c>
      <c r="J73" s="97">
        <v>4</v>
      </c>
      <c r="K73" s="68" t="s">
        <v>110</v>
      </c>
      <c r="L73" s="67">
        <v>29000000000</v>
      </c>
      <c r="M73" s="67" t="s">
        <v>636</v>
      </c>
      <c r="N73" s="96">
        <f t="shared" si="38"/>
        <v>4.6</v>
      </c>
      <c r="O73" s="96" t="s">
        <v>250</v>
      </c>
      <c r="P73" s="68">
        <f>(5*L73)/(3*H73)</f>
        <v>0.7453543070358974</v>
      </c>
      <c r="Q73" s="68" t="s">
        <v>13</v>
      </c>
      <c r="R73" s="68">
        <v>0.6</v>
      </c>
      <c r="S73" s="96" t="s">
        <v>4</v>
      </c>
      <c r="T73" s="68">
        <f t="shared" si="39"/>
        <v>4.6</v>
      </c>
      <c r="U73" s="68" t="s">
        <v>252</v>
      </c>
      <c r="V73" s="99"/>
      <c r="W73" s="92">
        <v>27</v>
      </c>
      <c r="Z73" s="92">
        <v>6</v>
      </c>
      <c r="AA73" s="92">
        <v>6</v>
      </c>
      <c r="AC73" s="92">
        <v>4</v>
      </c>
      <c r="AE73" s="92">
        <v>1</v>
      </c>
    </row>
    <row r="74" spans="1:22" s="92" customFormat="1" ht="15.75">
      <c r="A74" s="161" t="s">
        <v>638</v>
      </c>
      <c r="B74" s="96">
        <v>79.9</v>
      </c>
      <c r="C74" s="96">
        <v>18.82</v>
      </c>
      <c r="D74" s="152">
        <v>4245</v>
      </c>
      <c r="E74" s="152">
        <v>0</v>
      </c>
      <c r="F74" s="67">
        <v>4.43E-05</v>
      </c>
      <c r="G74" s="98" t="s">
        <v>224</v>
      </c>
      <c r="H74" s="67">
        <f>212000000000/(1+F74*0.42*R74*298)</f>
        <v>209882048730.37335</v>
      </c>
      <c r="I74" s="67" t="s">
        <v>639</v>
      </c>
      <c r="J74" s="97">
        <v>4</v>
      </c>
      <c r="K74" s="68" t="s">
        <v>110</v>
      </c>
      <c r="L74" s="67">
        <v>113000000000</v>
      </c>
      <c r="M74" s="67" t="s">
        <v>639</v>
      </c>
      <c r="N74" s="96">
        <f t="shared" si="38"/>
        <v>5.82</v>
      </c>
      <c r="O74" s="96" t="s">
        <v>250</v>
      </c>
      <c r="P74" s="68">
        <f>(5*L74)/(3*H74)</f>
        <v>0.8973294022647799</v>
      </c>
      <c r="Q74" s="68" t="s">
        <v>13</v>
      </c>
      <c r="R74" s="68">
        <v>1.82</v>
      </c>
      <c r="S74" s="96" t="s">
        <v>4</v>
      </c>
      <c r="T74" s="68">
        <f t="shared" si="39"/>
        <v>5.82</v>
      </c>
      <c r="U74" s="68" t="s">
        <v>252</v>
      </c>
      <c r="V74" s="99"/>
    </row>
    <row r="75" spans="1:22" s="92" customFormat="1" ht="15.75">
      <c r="A75" s="161" t="s">
        <v>661</v>
      </c>
      <c r="B75" s="96">
        <v>196.06</v>
      </c>
      <c r="C75" s="96"/>
      <c r="D75" s="152">
        <v>3523</v>
      </c>
      <c r="E75" s="152">
        <v>0</v>
      </c>
      <c r="F75" s="67">
        <v>4.2E-05</v>
      </c>
      <c r="G75" s="98" t="s">
        <v>224</v>
      </c>
      <c r="H75" s="67">
        <f>123300000000</f>
        <v>123300000000</v>
      </c>
      <c r="I75" s="67" t="s">
        <v>662</v>
      </c>
      <c r="J75" s="97">
        <v>4</v>
      </c>
      <c r="K75" s="68" t="s">
        <v>110</v>
      </c>
      <c r="L75" s="67">
        <v>67000000000</v>
      </c>
      <c r="M75" s="67" t="s">
        <v>664</v>
      </c>
      <c r="N75" s="96">
        <f>T75</f>
        <v>4.9399999999999995</v>
      </c>
      <c r="O75" s="96" t="s">
        <v>250</v>
      </c>
      <c r="P75" s="68">
        <f>(5*L75)/(3*H75)</f>
        <v>0.9056501757231684</v>
      </c>
      <c r="Q75" s="68" t="s">
        <v>13</v>
      </c>
      <c r="R75" s="68">
        <v>0.94</v>
      </c>
      <c r="S75" s="96" t="s">
        <v>4</v>
      </c>
      <c r="T75" s="68">
        <f>R75+J75</f>
        <v>4.9399999999999995</v>
      </c>
      <c r="U75" s="68" t="s">
        <v>252</v>
      </c>
      <c r="V75" s="99"/>
    </row>
    <row r="76" spans="1:22" ht="15.75">
      <c r="A76" s="93" t="s">
        <v>435</v>
      </c>
      <c r="D76" s="93" t="s">
        <v>581</v>
      </c>
      <c r="E76" s="94"/>
      <c r="F76" s="6"/>
      <c r="G76" s="6"/>
      <c r="J76" s="2"/>
      <c r="K76" s="2"/>
      <c r="L76" s="6"/>
      <c r="M76" s="6"/>
      <c r="N76" s="1"/>
      <c r="O76" s="1"/>
      <c r="R76" s="5"/>
      <c r="S76" s="4"/>
      <c r="U76" s="4"/>
      <c r="V76" s="4"/>
    </row>
    <row r="77" spans="1:37" ht="15.75">
      <c r="A77" s="93" t="s">
        <v>436</v>
      </c>
      <c r="D77" s="93" t="s">
        <v>576</v>
      </c>
      <c r="E77" s="94"/>
      <c r="F77" s="6"/>
      <c r="G77" s="6"/>
      <c r="J77" s="2"/>
      <c r="K77" s="2"/>
      <c r="L77" s="6"/>
      <c r="M77" s="6"/>
      <c r="N77" s="1"/>
      <c r="O77" s="1"/>
      <c r="R77" s="5"/>
      <c r="S77" s="4"/>
      <c r="U77" s="4"/>
      <c r="V77" s="4"/>
      <c r="AH77" s="4" t="s">
        <v>398</v>
      </c>
      <c r="AI77" s="4" t="s">
        <v>403</v>
      </c>
      <c r="AJ77" s="4" t="s">
        <v>522</v>
      </c>
      <c r="AK77" s="4" t="s">
        <v>517</v>
      </c>
    </row>
    <row r="78" spans="1:22" ht="15.75">
      <c r="A78" s="93" t="s">
        <v>673</v>
      </c>
      <c r="D78" s="93"/>
      <c r="E78" s="94"/>
      <c r="F78" s="6"/>
      <c r="G78" s="6"/>
      <c r="J78" s="2"/>
      <c r="K78" s="2"/>
      <c r="L78" s="6"/>
      <c r="M78" s="6"/>
      <c r="N78" s="1"/>
      <c r="O78" s="1"/>
      <c r="R78" s="5"/>
      <c r="S78" s="4"/>
      <c r="U78" s="4"/>
      <c r="V78" s="4"/>
    </row>
    <row r="79" spans="1:36" ht="15.75">
      <c r="A79" s="93" t="s">
        <v>514</v>
      </c>
      <c r="D79" s="93" t="s">
        <v>644</v>
      </c>
      <c r="E79" s="94"/>
      <c r="F79" s="6"/>
      <c r="G79" s="6"/>
      <c r="J79" s="2"/>
      <c r="K79" s="2"/>
      <c r="L79" s="6"/>
      <c r="M79" s="6"/>
      <c r="N79" s="1"/>
      <c r="O79" s="1"/>
      <c r="R79" s="5"/>
      <c r="S79" s="4"/>
      <c r="U79" s="4"/>
      <c r="V79" s="4"/>
      <c r="AH79" s="4">
        <v>0.79</v>
      </c>
      <c r="AI79" s="4">
        <v>0.08</v>
      </c>
      <c r="AJ79" s="4">
        <v>0.13</v>
      </c>
    </row>
    <row r="80" spans="1:37" ht="15.75">
      <c r="A80" s="93" t="s">
        <v>437</v>
      </c>
      <c r="D80" s="93" t="s">
        <v>645</v>
      </c>
      <c r="E80" s="94"/>
      <c r="F80" s="6"/>
      <c r="G80" s="6"/>
      <c r="J80" s="2"/>
      <c r="K80" s="2"/>
      <c r="L80" s="6"/>
      <c r="M80" s="6"/>
      <c r="N80" s="1"/>
      <c r="O80" s="1"/>
      <c r="R80" s="5"/>
      <c r="S80" s="4"/>
      <c r="U80" s="4"/>
      <c r="V80" s="4"/>
      <c r="AH80" s="4">
        <v>108</v>
      </c>
      <c r="AI80" s="4">
        <v>100</v>
      </c>
      <c r="AJ80" s="4">
        <v>167</v>
      </c>
      <c r="AK80" s="8">
        <v>115</v>
      </c>
    </row>
    <row r="81" spans="1:34" ht="15.75">
      <c r="A81" s="93" t="s">
        <v>438</v>
      </c>
      <c r="D81" s="93" t="s">
        <v>577</v>
      </c>
      <c r="E81" s="94"/>
      <c r="F81" s="6"/>
      <c r="G81" s="6"/>
      <c r="J81" s="2"/>
      <c r="K81" s="2"/>
      <c r="L81" s="6"/>
      <c r="M81" s="6"/>
      <c r="N81" s="1"/>
      <c r="O81" s="1"/>
      <c r="R81" s="5"/>
      <c r="S81" s="4"/>
      <c r="U81" s="4"/>
      <c r="V81" s="4"/>
      <c r="AH81" s="6">
        <f>AH79*AH80+AI79*AI80+AJ79*AJ80</f>
        <v>115.03</v>
      </c>
    </row>
    <row r="82" spans="1:22" ht="15.75">
      <c r="A82" s="93" t="s">
        <v>439</v>
      </c>
      <c r="D82" s="93" t="s">
        <v>578</v>
      </c>
      <c r="E82" s="94"/>
      <c r="F82" s="6"/>
      <c r="G82" s="6"/>
      <c r="J82" s="2"/>
      <c r="K82" s="2"/>
      <c r="L82" s="6"/>
      <c r="M82" s="6"/>
      <c r="N82" s="1"/>
      <c r="O82" s="1"/>
      <c r="R82" s="5"/>
      <c r="S82" s="4"/>
      <c r="U82" s="4"/>
      <c r="V82" s="4"/>
    </row>
    <row r="83" spans="1:22" ht="15.75">
      <c r="A83" s="93" t="s">
        <v>663</v>
      </c>
      <c r="D83" s="93"/>
      <c r="E83" s="94"/>
      <c r="F83" s="6"/>
      <c r="G83" s="6"/>
      <c r="J83" s="2"/>
      <c r="K83" s="2"/>
      <c r="L83" s="6"/>
      <c r="M83" s="6"/>
      <c r="N83" s="1"/>
      <c r="O83" s="1"/>
      <c r="R83" s="5"/>
      <c r="S83" s="4"/>
      <c r="U83" s="4"/>
      <c r="V83" s="4"/>
    </row>
    <row r="84" spans="1:22" ht="15.75">
      <c r="A84" s="93" t="s">
        <v>653</v>
      </c>
      <c r="D84" s="93"/>
      <c r="E84" s="94"/>
      <c r="F84" s="6"/>
      <c r="G84" s="6"/>
      <c r="J84" s="2"/>
      <c r="K84" s="2"/>
      <c r="L84" s="6"/>
      <c r="M84" s="6"/>
      <c r="N84" s="1"/>
      <c r="O84" s="1"/>
      <c r="R84" s="5"/>
      <c r="S84" s="4"/>
      <c r="U84" s="4"/>
      <c r="V84" s="4"/>
    </row>
    <row r="85" spans="1:22" ht="15.75">
      <c r="A85" s="93" t="s">
        <v>440</v>
      </c>
      <c r="D85" s="93" t="s">
        <v>579</v>
      </c>
      <c r="E85" s="94"/>
      <c r="F85" s="6"/>
      <c r="G85" s="6"/>
      <c r="J85" s="2"/>
      <c r="K85" s="2"/>
      <c r="L85" s="6"/>
      <c r="M85" s="6"/>
      <c r="N85" s="1"/>
      <c r="O85" s="1"/>
      <c r="R85" s="5"/>
      <c r="S85" s="4"/>
      <c r="U85" s="4"/>
      <c r="V85" s="4"/>
    </row>
    <row r="86" spans="1:22" ht="15.75">
      <c r="A86" s="93" t="s">
        <v>441</v>
      </c>
      <c r="D86" s="93" t="s">
        <v>586</v>
      </c>
      <c r="E86" s="94"/>
      <c r="F86" s="6"/>
      <c r="G86" s="6"/>
      <c r="J86" s="2"/>
      <c r="K86" s="2"/>
      <c r="L86" s="6"/>
      <c r="M86" s="6"/>
      <c r="N86" s="1"/>
      <c r="O86" s="1"/>
      <c r="R86" s="5"/>
      <c r="S86" s="4"/>
      <c r="U86" s="4"/>
      <c r="V86" s="4"/>
    </row>
    <row r="87" spans="1:22" ht="15.75">
      <c r="A87" s="93" t="s">
        <v>442</v>
      </c>
      <c r="D87" s="93" t="s">
        <v>582</v>
      </c>
      <c r="E87" s="94"/>
      <c r="F87" s="6"/>
      <c r="G87" s="6"/>
      <c r="J87" s="2"/>
      <c r="K87" s="2"/>
      <c r="L87" s="6"/>
      <c r="M87" s="6"/>
      <c r="N87" s="1"/>
      <c r="O87" s="1"/>
      <c r="R87" s="5"/>
      <c r="S87" s="4"/>
      <c r="U87" s="4"/>
      <c r="V87" s="4"/>
    </row>
    <row r="88" spans="1:22" ht="15.75">
      <c r="A88" s="93" t="s">
        <v>443</v>
      </c>
      <c r="D88" s="5" t="s">
        <v>587</v>
      </c>
      <c r="E88" s="94"/>
      <c r="F88" s="6"/>
      <c r="G88" s="6"/>
      <c r="J88" s="2"/>
      <c r="K88" s="2"/>
      <c r="L88" s="6"/>
      <c r="M88" s="6"/>
      <c r="N88" s="1"/>
      <c r="O88" s="1"/>
      <c r="R88" s="5"/>
      <c r="S88" s="4"/>
      <c r="U88" s="4"/>
      <c r="V88" s="4"/>
    </row>
    <row r="89" spans="1:22" ht="15.75">
      <c r="A89" s="93" t="s">
        <v>498</v>
      </c>
      <c r="D89" s="93" t="s">
        <v>431</v>
      </c>
      <c r="E89" s="94"/>
      <c r="F89" s="6"/>
      <c r="G89" s="6"/>
      <c r="J89" s="2"/>
      <c r="K89" s="2"/>
      <c r="L89" s="6"/>
      <c r="M89" s="6"/>
      <c r="N89" s="1"/>
      <c r="O89" s="1"/>
      <c r="R89" s="5"/>
      <c r="S89" s="4"/>
      <c r="U89" s="4"/>
      <c r="V89" s="4"/>
    </row>
    <row r="90" spans="1:22" ht="15.75">
      <c r="A90" s="93" t="s">
        <v>634</v>
      </c>
      <c r="D90" s="93"/>
      <c r="E90" s="94"/>
      <c r="F90" s="6"/>
      <c r="G90" s="6"/>
      <c r="J90" s="2"/>
      <c r="K90" s="2"/>
      <c r="L90" s="6"/>
      <c r="M90" s="6"/>
      <c r="N90" s="1"/>
      <c r="O90" s="1"/>
      <c r="R90" s="5"/>
      <c r="S90" s="4"/>
      <c r="U90" s="4"/>
      <c r="V90" s="4"/>
    </row>
    <row r="91" spans="1:22" ht="15.75">
      <c r="A91" s="93" t="s">
        <v>655</v>
      </c>
      <c r="D91" s="93"/>
      <c r="E91" s="94"/>
      <c r="F91" s="6"/>
      <c r="G91" s="6"/>
      <c r="J91" s="2"/>
      <c r="K91" s="2"/>
      <c r="L91" s="6"/>
      <c r="M91" s="6"/>
      <c r="N91" s="1"/>
      <c r="O91" s="1"/>
      <c r="R91" s="5"/>
      <c r="S91" s="4"/>
      <c r="U91" s="4"/>
      <c r="V91" s="4"/>
    </row>
    <row r="92" spans="1:22" ht="15.75">
      <c r="A92" s="93" t="s">
        <v>444</v>
      </c>
      <c r="D92" s="93" t="s">
        <v>432</v>
      </c>
      <c r="E92" s="94"/>
      <c r="F92" s="6"/>
      <c r="G92" s="6"/>
      <c r="J92" s="2"/>
      <c r="K92" s="2"/>
      <c r="L92" s="6"/>
      <c r="M92" s="6"/>
      <c r="N92" s="1"/>
      <c r="O92" s="1"/>
      <c r="R92" s="5"/>
      <c r="S92" s="4"/>
      <c r="U92" s="4"/>
      <c r="V92" s="4"/>
    </row>
    <row r="93" spans="1:22" ht="15.75">
      <c r="A93" s="93" t="s">
        <v>649</v>
      </c>
      <c r="D93" s="93"/>
      <c r="E93" s="94"/>
      <c r="F93" s="6"/>
      <c r="G93" s="6"/>
      <c r="J93" s="2"/>
      <c r="K93" s="2"/>
      <c r="L93" s="6"/>
      <c r="M93" s="6"/>
      <c r="N93" s="1"/>
      <c r="O93" s="1"/>
      <c r="R93" s="5"/>
      <c r="S93" s="4"/>
      <c r="U93" s="4"/>
      <c r="V93" s="4"/>
    </row>
    <row r="94" spans="1:22" ht="15.75">
      <c r="A94" s="93" t="s">
        <v>445</v>
      </c>
      <c r="D94" s="93" t="s">
        <v>448</v>
      </c>
      <c r="E94" s="94"/>
      <c r="F94" s="6"/>
      <c r="G94" s="6"/>
      <c r="J94" s="2"/>
      <c r="K94" s="2"/>
      <c r="L94" s="6"/>
      <c r="M94" s="6"/>
      <c r="N94" s="1"/>
      <c r="O94" s="1"/>
      <c r="R94" s="5"/>
      <c r="S94" s="4"/>
      <c r="U94" s="4"/>
      <c r="V94" s="4"/>
    </row>
    <row r="95" spans="1:22" ht="15.75">
      <c r="A95" s="93" t="s">
        <v>658</v>
      </c>
      <c r="D95" s="93"/>
      <c r="E95" s="94"/>
      <c r="F95" s="6"/>
      <c r="G95" s="6"/>
      <c r="J95" s="2"/>
      <c r="K95" s="2"/>
      <c r="L95" s="6"/>
      <c r="M95" s="6"/>
      <c r="N95" s="1"/>
      <c r="O95" s="1"/>
      <c r="R95" s="5"/>
      <c r="S95" s="4"/>
      <c r="U95" s="4"/>
      <c r="V95" s="4"/>
    </row>
    <row r="96" spans="1:22" ht="15.75">
      <c r="A96" s="93" t="s">
        <v>446</v>
      </c>
      <c r="D96" s="93" t="s">
        <v>450</v>
      </c>
      <c r="E96" s="94"/>
      <c r="F96" s="6"/>
      <c r="G96" s="6"/>
      <c r="J96" s="2"/>
      <c r="K96" s="2"/>
      <c r="L96" s="6"/>
      <c r="M96" s="6"/>
      <c r="N96" s="1"/>
      <c r="O96" s="1"/>
      <c r="R96" s="5"/>
      <c r="S96" s="4"/>
      <c r="U96" s="4"/>
      <c r="V96" s="4"/>
    </row>
    <row r="97" spans="1:22" ht="15.75">
      <c r="A97" s="93" t="s">
        <v>447</v>
      </c>
      <c r="D97" s="93" t="s">
        <v>550</v>
      </c>
      <c r="E97" s="95"/>
      <c r="F97" s="6"/>
      <c r="G97" s="6"/>
      <c r="J97" s="2"/>
      <c r="K97" s="2"/>
      <c r="L97" s="6"/>
      <c r="M97" s="6"/>
      <c r="N97" s="1"/>
      <c r="O97" s="1"/>
      <c r="R97" s="5"/>
      <c r="S97" s="4"/>
      <c r="U97" s="4"/>
      <c r="V97" s="4"/>
    </row>
    <row r="98" spans="1:22" ht="15.75">
      <c r="A98" s="93" t="s">
        <v>449</v>
      </c>
      <c r="D98" s="93" t="s">
        <v>453</v>
      </c>
      <c r="E98" s="93"/>
      <c r="F98" s="6"/>
      <c r="G98" s="6"/>
      <c r="J98" s="2"/>
      <c r="K98" s="2"/>
      <c r="L98" s="6"/>
      <c r="M98" s="6"/>
      <c r="N98" s="1"/>
      <c r="O98" s="1"/>
      <c r="R98" s="5"/>
      <c r="S98" s="4"/>
      <c r="U98" s="4"/>
      <c r="V98" s="4"/>
    </row>
    <row r="99" spans="1:22" ht="15.75">
      <c r="A99" s="93" t="s">
        <v>451</v>
      </c>
      <c r="D99" s="93" t="s">
        <v>510</v>
      </c>
      <c r="E99" s="93"/>
      <c r="F99" s="6"/>
      <c r="G99" s="6"/>
      <c r="J99" s="2"/>
      <c r="K99" s="2"/>
      <c r="L99" s="6"/>
      <c r="M99" s="6"/>
      <c r="N99" s="1"/>
      <c r="O99" s="1"/>
      <c r="R99" s="5"/>
      <c r="S99" s="4"/>
      <c r="U99" s="4"/>
      <c r="V99" s="4"/>
    </row>
    <row r="100" spans="1:22" ht="15.75">
      <c r="A100" s="93" t="s">
        <v>452</v>
      </c>
      <c r="D100" s="93" t="s">
        <v>511</v>
      </c>
      <c r="E100" s="93"/>
      <c r="F100" s="6"/>
      <c r="G100" s="6"/>
      <c r="J100" s="2"/>
      <c r="K100" s="2"/>
      <c r="L100" s="6"/>
      <c r="M100" s="6"/>
      <c r="N100" s="1"/>
      <c r="O100" s="1"/>
      <c r="R100" s="5"/>
      <c r="S100" s="4"/>
      <c r="U100" s="4"/>
      <c r="V100" s="4"/>
    </row>
    <row r="101" spans="1:22" ht="15.75">
      <c r="A101" s="93" t="s">
        <v>520</v>
      </c>
      <c r="D101" s="93" t="s">
        <v>588</v>
      </c>
      <c r="E101" s="94"/>
      <c r="F101" s="6"/>
      <c r="G101" s="6"/>
      <c r="J101" s="2"/>
      <c r="K101" s="2"/>
      <c r="L101" s="6"/>
      <c r="M101" s="6"/>
      <c r="N101" s="1"/>
      <c r="O101" s="1"/>
      <c r="R101" s="5"/>
      <c r="S101" s="4"/>
      <c r="U101" s="4"/>
      <c r="V101" s="4"/>
    </row>
    <row r="102" spans="1:22" ht="15.75">
      <c r="A102" s="93" t="s">
        <v>528</v>
      </c>
      <c r="D102" s="93" t="s">
        <v>458</v>
      </c>
      <c r="E102" s="94"/>
      <c r="F102" s="6"/>
      <c r="G102" s="6"/>
      <c r="J102" s="2"/>
      <c r="K102" s="2"/>
      <c r="L102" s="6"/>
      <c r="M102" s="6"/>
      <c r="N102" s="1"/>
      <c r="O102" s="1"/>
      <c r="R102" s="5"/>
      <c r="S102" s="4"/>
      <c r="U102" s="4"/>
      <c r="V102" s="4"/>
    </row>
    <row r="103" spans="1:22" ht="15.75">
      <c r="A103" s="93" t="s">
        <v>454</v>
      </c>
      <c r="D103" s="93" t="s">
        <v>618</v>
      </c>
      <c r="E103" s="94"/>
      <c r="F103" s="6"/>
      <c r="G103" s="6"/>
      <c r="J103" s="2"/>
      <c r="K103" s="2"/>
      <c r="L103" s="6"/>
      <c r="M103" s="6"/>
      <c r="N103" s="1"/>
      <c r="O103" s="1"/>
      <c r="R103" s="5"/>
      <c r="S103" s="4"/>
      <c r="U103" s="4"/>
      <c r="V103" s="4"/>
    </row>
    <row r="104" spans="1:22" ht="15.75">
      <c r="A104" s="93" t="s">
        <v>512</v>
      </c>
      <c r="D104" s="93" t="s">
        <v>570</v>
      </c>
      <c r="E104" s="94"/>
      <c r="F104" s="6"/>
      <c r="G104" s="6"/>
      <c r="J104" s="2"/>
      <c r="K104" s="2"/>
      <c r="L104" s="6"/>
      <c r="M104" s="6"/>
      <c r="N104" s="1"/>
      <c r="O104" s="1"/>
      <c r="R104" s="5"/>
      <c r="S104" s="4"/>
      <c r="U104" s="4"/>
      <c r="V104" s="4"/>
    </row>
    <row r="105" spans="1:22" ht="15.75">
      <c r="A105" s="93" t="s">
        <v>455</v>
      </c>
      <c r="D105" s="1" t="s">
        <v>507</v>
      </c>
      <c r="E105" s="3"/>
      <c r="F105" s="6"/>
      <c r="G105" s="6"/>
      <c r="J105" s="2"/>
      <c r="K105" s="2"/>
      <c r="L105" s="6"/>
      <c r="M105" s="6"/>
      <c r="N105" s="1"/>
      <c r="O105" s="1"/>
      <c r="R105" s="5"/>
      <c r="S105" s="4"/>
      <c r="U105" s="4"/>
      <c r="V105" s="4"/>
    </row>
    <row r="106" spans="1:22" ht="15.75">
      <c r="A106" s="93" t="s">
        <v>456</v>
      </c>
      <c r="D106" s="93" t="s">
        <v>646</v>
      </c>
      <c r="F106" s="4"/>
      <c r="G106" s="4"/>
      <c r="J106" s="2"/>
      <c r="K106" s="2"/>
      <c r="L106" s="6"/>
      <c r="M106" s="6"/>
      <c r="N106" s="1"/>
      <c r="O106" s="1"/>
      <c r="R106" s="5"/>
      <c r="S106" s="4"/>
      <c r="U106" s="4"/>
      <c r="V106" s="4"/>
    </row>
    <row r="107" spans="1:22" ht="15.75">
      <c r="A107" s="93" t="s">
        <v>635</v>
      </c>
      <c r="D107" s="93"/>
      <c r="F107" s="4"/>
      <c r="G107" s="4"/>
      <c r="J107" s="2"/>
      <c r="K107" s="2"/>
      <c r="L107" s="6"/>
      <c r="M107" s="6"/>
      <c r="N107" s="1"/>
      <c r="O107" s="1"/>
      <c r="R107" s="5"/>
      <c r="S107" s="4"/>
      <c r="U107" s="4"/>
      <c r="V107" s="4"/>
    </row>
    <row r="108" spans="1:22" ht="15.75">
      <c r="A108" s="93" t="s">
        <v>457</v>
      </c>
      <c r="D108" s="3" t="s">
        <v>589</v>
      </c>
      <c r="E108" s="3"/>
      <c r="F108" s="6"/>
      <c r="G108" s="6"/>
      <c r="H108" s="4"/>
      <c r="I108" s="4"/>
      <c r="J108" s="2"/>
      <c r="K108" s="2"/>
      <c r="L108" s="6"/>
      <c r="M108" s="6"/>
      <c r="N108" s="1"/>
      <c r="O108" s="1"/>
      <c r="R108" s="5"/>
      <c r="S108" s="4"/>
      <c r="U108" s="4"/>
      <c r="V108" s="4"/>
    </row>
    <row r="109" spans="1:22" ht="15.75">
      <c r="A109" s="93" t="s">
        <v>580</v>
      </c>
      <c r="D109" s="4" t="s">
        <v>547</v>
      </c>
      <c r="E109" s="3"/>
      <c r="F109" s="6"/>
      <c r="G109" s="6"/>
      <c r="J109" s="2"/>
      <c r="K109" s="2"/>
      <c r="L109" s="6"/>
      <c r="M109" s="6"/>
      <c r="N109" s="1"/>
      <c r="O109" s="1"/>
      <c r="R109" s="5"/>
      <c r="S109" s="4"/>
      <c r="U109" s="4"/>
      <c r="V109" s="4"/>
    </row>
    <row r="110" spans="1:22" ht="15.75">
      <c r="A110" s="93" t="s">
        <v>494</v>
      </c>
      <c r="D110" s="4" t="s">
        <v>524</v>
      </c>
      <c r="E110" s="3"/>
      <c r="F110" s="6"/>
      <c r="G110" s="6"/>
      <c r="J110" s="2"/>
      <c r="K110" s="2"/>
      <c r="L110" s="6"/>
      <c r="M110" s="6"/>
      <c r="N110" s="1"/>
      <c r="O110" s="1"/>
      <c r="R110" s="5"/>
      <c r="S110" s="4"/>
      <c r="U110" s="4"/>
      <c r="V110" s="4"/>
    </row>
    <row r="111" spans="1:22" ht="15.75">
      <c r="A111" s="93" t="s">
        <v>459</v>
      </c>
      <c r="D111" s="4" t="s">
        <v>527</v>
      </c>
      <c r="F111" s="4"/>
      <c r="G111" s="4"/>
      <c r="J111" s="2"/>
      <c r="K111" s="2"/>
      <c r="L111" s="6"/>
      <c r="M111" s="6"/>
      <c r="N111" s="1"/>
      <c r="O111" s="1"/>
      <c r="R111" s="5"/>
      <c r="S111" s="4"/>
      <c r="U111" s="4"/>
      <c r="V111" s="4"/>
    </row>
    <row r="112" spans="1:22" ht="15.75">
      <c r="A112" s="93" t="s">
        <v>460</v>
      </c>
      <c r="D112" s="4" t="s">
        <v>546</v>
      </c>
      <c r="F112" s="4"/>
      <c r="G112" s="4"/>
      <c r="J112" s="2"/>
      <c r="K112" s="2"/>
      <c r="L112" s="6"/>
      <c r="M112" s="6"/>
      <c r="N112" s="1"/>
      <c r="O112" s="1"/>
      <c r="R112" s="5"/>
      <c r="S112" s="4"/>
      <c r="U112" s="4"/>
      <c r="V112" s="4"/>
    </row>
    <row r="113" spans="1:22" ht="15.75">
      <c r="A113" s="93" t="s">
        <v>461</v>
      </c>
      <c r="D113" s="3" t="s">
        <v>549</v>
      </c>
      <c r="F113" s="4"/>
      <c r="G113" s="4"/>
      <c r="J113" s="2"/>
      <c r="K113" s="2"/>
      <c r="L113" s="6"/>
      <c r="M113" s="6"/>
      <c r="N113" s="1"/>
      <c r="O113" s="1"/>
      <c r="R113" s="5"/>
      <c r="S113" s="4"/>
      <c r="U113" s="4"/>
      <c r="V113" s="4"/>
    </row>
    <row r="114" spans="1:22" ht="15.75">
      <c r="A114" s="93" t="s">
        <v>640</v>
      </c>
      <c r="D114" s="3"/>
      <c r="F114" s="4"/>
      <c r="G114" s="4"/>
      <c r="J114" s="2"/>
      <c r="K114" s="2"/>
      <c r="L114" s="6"/>
      <c r="M114" s="6"/>
      <c r="N114" s="1"/>
      <c r="O114" s="1"/>
      <c r="R114" s="5"/>
      <c r="S114" s="4"/>
      <c r="U114" s="4"/>
      <c r="V114" s="4"/>
    </row>
    <row r="115" spans="1:22" ht="15.75">
      <c r="A115" s="93" t="s">
        <v>651</v>
      </c>
      <c r="D115" s="3"/>
      <c r="F115" s="4"/>
      <c r="G115" s="4"/>
      <c r="J115" s="2"/>
      <c r="K115" s="2"/>
      <c r="L115" s="6"/>
      <c r="M115" s="6"/>
      <c r="N115" s="1"/>
      <c r="O115" s="1"/>
      <c r="R115" s="5"/>
      <c r="S115" s="4"/>
      <c r="U115" s="4"/>
      <c r="V115" s="4"/>
    </row>
    <row r="116" spans="1:22" ht="15.75">
      <c r="A116" s="93" t="s">
        <v>603</v>
      </c>
      <c r="D116" s="93" t="s">
        <v>573</v>
      </c>
      <c r="E116" s="3"/>
      <c r="F116" s="4"/>
      <c r="G116" s="4"/>
      <c r="J116" s="2"/>
      <c r="K116" s="2"/>
      <c r="L116" s="6"/>
      <c r="M116" s="6"/>
      <c r="N116" s="1"/>
      <c r="O116" s="1"/>
      <c r="R116" s="5"/>
      <c r="S116" s="4"/>
      <c r="U116" s="4"/>
      <c r="V116" s="4"/>
    </row>
    <row r="117" spans="1:22" ht="15.75">
      <c r="A117" s="93" t="s">
        <v>462</v>
      </c>
      <c r="D117" s="5" t="s">
        <v>574</v>
      </c>
      <c r="E117" s="3"/>
      <c r="F117" s="6"/>
      <c r="G117" s="6"/>
      <c r="J117" s="2"/>
      <c r="K117" s="2"/>
      <c r="L117" s="6"/>
      <c r="M117" s="6"/>
      <c r="N117" s="1"/>
      <c r="O117" s="1"/>
      <c r="R117" s="5"/>
      <c r="S117" s="4"/>
      <c r="U117" s="4"/>
      <c r="V117" s="4"/>
    </row>
    <row r="118" spans="1:22" ht="15.75">
      <c r="A118" s="93" t="s">
        <v>495</v>
      </c>
      <c r="D118" s="93" t="s">
        <v>595</v>
      </c>
      <c r="F118" s="6"/>
      <c r="G118" s="6"/>
      <c r="J118" s="2"/>
      <c r="K118" s="2"/>
      <c r="L118" s="6"/>
      <c r="M118" s="6"/>
      <c r="N118" s="1"/>
      <c r="O118" s="1"/>
      <c r="R118" s="5"/>
      <c r="S118" s="4"/>
      <c r="U118" s="4"/>
      <c r="V118" s="4"/>
    </row>
    <row r="119" spans="1:22" ht="15.75">
      <c r="A119" s="93" t="s">
        <v>490</v>
      </c>
      <c r="D119" s="5" t="s">
        <v>622</v>
      </c>
      <c r="K119" s="2"/>
      <c r="L119" s="6"/>
      <c r="M119" s="6"/>
      <c r="N119" s="1"/>
      <c r="O119" s="1"/>
      <c r="R119" s="5"/>
      <c r="S119" s="4"/>
      <c r="U119" s="4"/>
      <c r="V119" s="4"/>
    </row>
    <row r="120" spans="1:22" ht="15.75">
      <c r="A120" s="93" t="s">
        <v>478</v>
      </c>
      <c r="D120" s="5" t="s">
        <v>643</v>
      </c>
      <c r="U120" s="4"/>
      <c r="V120" s="4"/>
    </row>
    <row r="121" spans="1:22" ht="15.75">
      <c r="A121" s="93" t="s">
        <v>433</v>
      </c>
      <c r="D121" s="5" t="s">
        <v>613</v>
      </c>
      <c r="U121" s="4"/>
      <c r="V121" s="4"/>
    </row>
    <row r="122" spans="1:22" ht="15.75">
      <c r="A122" s="93" t="s">
        <v>486</v>
      </c>
      <c r="D122" s="5" t="s">
        <v>654</v>
      </c>
      <c r="U122" s="4"/>
      <c r="V122" s="4"/>
    </row>
    <row r="123" spans="1:22" ht="15.75">
      <c r="A123" s="93" t="s">
        <v>485</v>
      </c>
      <c r="D123" s="5" t="s">
        <v>615</v>
      </c>
      <c r="H123" s="4"/>
      <c r="I123" s="4"/>
      <c r="J123" s="4"/>
      <c r="U123" s="4"/>
      <c r="V123" s="4"/>
    </row>
    <row r="124" spans="1:22" ht="15.75">
      <c r="A124" s="93" t="s">
        <v>484</v>
      </c>
      <c r="D124" s="5" t="s">
        <v>616</v>
      </c>
      <c r="H124" s="2"/>
      <c r="J124" s="2"/>
      <c r="K124" s="4"/>
      <c r="L124" s="4"/>
      <c r="M124" s="6"/>
      <c r="N124" s="1"/>
      <c r="O124" s="1"/>
      <c r="R124" s="5"/>
      <c r="S124" s="4"/>
      <c r="U124" s="4"/>
      <c r="V124" s="4"/>
    </row>
    <row r="125" spans="1:22" ht="15.75">
      <c r="A125" s="93" t="s">
        <v>463</v>
      </c>
      <c r="D125" s="5" t="s">
        <v>620</v>
      </c>
      <c r="H125" s="2"/>
      <c r="J125" s="2"/>
      <c r="K125" s="2"/>
      <c r="L125" s="6"/>
      <c r="M125" s="6"/>
      <c r="N125" s="1"/>
      <c r="O125" s="1"/>
      <c r="R125" s="5"/>
      <c r="S125" s="4"/>
      <c r="U125" s="4"/>
      <c r="V125" s="4"/>
    </row>
    <row r="126" spans="1:22" ht="15.75">
      <c r="A126" s="93" t="s">
        <v>601</v>
      </c>
      <c r="D126" s="5" t="s">
        <v>623</v>
      </c>
      <c r="F126" s="4"/>
      <c r="H126" s="2"/>
      <c r="J126" s="2"/>
      <c r="K126" s="2"/>
      <c r="L126" s="6"/>
      <c r="M126" s="6"/>
      <c r="N126" s="1"/>
      <c r="O126" s="1"/>
      <c r="R126" s="5"/>
      <c r="S126" s="4"/>
      <c r="U126" s="4"/>
      <c r="V126" s="4"/>
    </row>
    <row r="127" spans="1:22" ht="15.75">
      <c r="A127" s="93" t="s">
        <v>593</v>
      </c>
      <c r="D127" s="5" t="s">
        <v>625</v>
      </c>
      <c r="U127" s="4"/>
      <c r="V127" s="4"/>
    </row>
    <row r="128" spans="1:22" ht="15.75">
      <c r="A128" s="93" t="s">
        <v>493</v>
      </c>
      <c r="U128" s="4"/>
      <c r="V128" s="4"/>
    </row>
    <row r="129" spans="1:22" ht="15.75">
      <c r="A129" s="93" t="s">
        <v>502</v>
      </c>
      <c r="U129" s="4"/>
      <c r="V129" s="4"/>
    </row>
    <row r="130" spans="1:22" ht="15.75">
      <c r="A130" s="93" t="s">
        <v>671</v>
      </c>
      <c r="U130" s="4"/>
      <c r="V130" s="4"/>
    </row>
    <row r="131" spans="1:22" ht="15.75">
      <c r="A131" s="93" t="s">
        <v>503</v>
      </c>
      <c r="U131" s="4"/>
      <c r="V131" s="4"/>
    </row>
    <row r="132" spans="1:22" ht="15.75">
      <c r="A132" s="93" t="s">
        <v>607</v>
      </c>
      <c r="U132" s="4"/>
      <c r="V132" s="4"/>
    </row>
    <row r="133" spans="1:22" ht="15.75">
      <c r="A133" s="93" t="s">
        <v>659</v>
      </c>
      <c r="U133" s="4"/>
      <c r="V133" s="4"/>
    </row>
    <row r="134" spans="1:22" ht="15.75">
      <c r="A134" s="93" t="s">
        <v>464</v>
      </c>
      <c r="U134" s="4"/>
      <c r="V134" s="4"/>
    </row>
    <row r="135" spans="1:22" ht="15.75">
      <c r="A135" s="93" t="s">
        <v>598</v>
      </c>
      <c r="E135" s="3" t="s">
        <v>434</v>
      </c>
      <c r="F135" s="4"/>
      <c r="G135" s="6"/>
      <c r="H135" s="6"/>
      <c r="J135" s="2"/>
      <c r="K135" s="2"/>
      <c r="L135" s="6"/>
      <c r="M135" s="6"/>
      <c r="N135" s="1"/>
      <c r="O135" s="1"/>
      <c r="R135" s="5"/>
      <c r="S135" s="4"/>
      <c r="U135" s="4"/>
      <c r="V135" s="4"/>
    </row>
    <row r="136" spans="1:22" ht="15.75">
      <c r="A136" s="93" t="s">
        <v>590</v>
      </c>
      <c r="E136" s="5" t="s">
        <v>585</v>
      </c>
      <c r="F136" s="3"/>
      <c r="G136" s="6"/>
      <c r="H136" s="2"/>
      <c r="I136" s="4"/>
      <c r="J136" s="4"/>
      <c r="K136" s="2"/>
      <c r="L136" s="6"/>
      <c r="M136" s="6"/>
      <c r="N136" s="1"/>
      <c r="O136" s="1"/>
      <c r="R136" s="5"/>
      <c r="S136" s="4"/>
      <c r="U136" s="4"/>
      <c r="V136" s="4"/>
    </row>
    <row r="137" spans="1:22" ht="15.75">
      <c r="A137" s="93" t="s">
        <v>465</v>
      </c>
      <c r="D137" s="4"/>
      <c r="E137" s="3" t="s">
        <v>519</v>
      </c>
      <c r="F137" s="4"/>
      <c r="G137" s="8"/>
      <c r="H137" s="2"/>
      <c r="J137" s="2"/>
      <c r="K137" s="4"/>
      <c r="L137" s="4"/>
      <c r="M137" s="4"/>
      <c r="N137" s="4"/>
      <c r="O137" s="1"/>
      <c r="R137" s="5"/>
      <c r="S137" s="4"/>
      <c r="U137" s="4"/>
      <c r="V137" s="4"/>
    </row>
    <row r="138" spans="1:22" ht="15.75">
      <c r="A138" s="93" t="s">
        <v>466</v>
      </c>
      <c r="D138" s="8"/>
      <c r="E138" s="3"/>
      <c r="F138" s="6"/>
      <c r="G138" s="6"/>
      <c r="J138" s="2"/>
      <c r="K138" s="2"/>
      <c r="L138" s="6" t="s">
        <v>543</v>
      </c>
      <c r="M138" s="6"/>
      <c r="N138" s="1"/>
      <c r="O138" s="1"/>
      <c r="R138" s="5"/>
      <c r="S138" s="4"/>
      <c r="U138" s="4"/>
      <c r="V138" s="4"/>
    </row>
    <row r="139" spans="1:22" ht="15.75">
      <c r="A139" s="93" t="s">
        <v>499</v>
      </c>
      <c r="D139" s="107" t="s">
        <v>518</v>
      </c>
      <c r="E139" s="108"/>
      <c r="F139" s="109"/>
      <c r="G139" s="108"/>
      <c r="H139" s="110"/>
      <c r="J139" s="2"/>
      <c r="K139" s="2"/>
      <c r="L139" s="111" t="s">
        <v>517</v>
      </c>
      <c r="M139" s="109"/>
      <c r="N139" s="109"/>
      <c r="O139" s="109"/>
      <c r="P139" s="109"/>
      <c r="Q139" s="109"/>
      <c r="R139" s="6"/>
      <c r="S139" s="4"/>
      <c r="U139" s="4"/>
      <c r="V139" s="4"/>
    </row>
    <row r="140" spans="1:23" ht="15.75">
      <c r="A140" s="93" t="s">
        <v>467</v>
      </c>
      <c r="D140" s="108" t="s">
        <v>398</v>
      </c>
      <c r="E140" s="108" t="s">
        <v>403</v>
      </c>
      <c r="F140" s="109" t="s">
        <v>402</v>
      </c>
      <c r="G140" s="108" t="s">
        <v>399</v>
      </c>
      <c r="H140" s="110"/>
      <c r="J140" s="2"/>
      <c r="K140" s="2"/>
      <c r="L140" s="109" t="s">
        <v>398</v>
      </c>
      <c r="M140" s="109" t="s">
        <v>403</v>
      </c>
      <c r="N140" s="109" t="s">
        <v>402</v>
      </c>
      <c r="O140" s="109" t="s">
        <v>538</v>
      </c>
      <c r="P140" s="109" t="s">
        <v>397</v>
      </c>
      <c r="Q140" s="109"/>
      <c r="R140" s="6"/>
      <c r="S140" s="4"/>
      <c r="U140" s="4"/>
      <c r="V140" s="92"/>
      <c r="W140" s="92"/>
    </row>
    <row r="141" spans="1:23" ht="15.75">
      <c r="A141" s="93" t="s">
        <v>572</v>
      </c>
      <c r="D141" s="109">
        <v>1.63</v>
      </c>
      <c r="E141" s="109">
        <v>0.18</v>
      </c>
      <c r="F141" s="109">
        <v>0.04</v>
      </c>
      <c r="G141" s="109">
        <v>0.12</v>
      </c>
      <c r="H141" s="109">
        <f>SUM(D141:G141)</f>
        <v>1.9699999999999998</v>
      </c>
      <c r="I141" s="3" t="s">
        <v>531</v>
      </c>
      <c r="J141" s="2"/>
      <c r="L141" s="109">
        <v>0.8513</v>
      </c>
      <c r="M141" s="109">
        <v>0.0907</v>
      </c>
      <c r="N141" s="109">
        <v>0.7596</v>
      </c>
      <c r="O141" s="109">
        <f>(0.2833+0.0275)/2</f>
        <v>0.1554</v>
      </c>
      <c r="P141" s="109">
        <v>0.105</v>
      </c>
      <c r="Q141" s="109">
        <f>SUM(L141:P141)</f>
        <v>1.962</v>
      </c>
      <c r="R141" s="6"/>
      <c r="S141" s="4"/>
      <c r="U141" s="4"/>
      <c r="V141" s="92"/>
      <c r="W141" s="92"/>
    </row>
    <row r="142" spans="1:23" ht="15.75">
      <c r="A142" s="14" t="s">
        <v>629</v>
      </c>
      <c r="D142" s="109">
        <f>D141/(1.97/2)</f>
        <v>1.6548223350253806</v>
      </c>
      <c r="E142" s="109">
        <f>E141/(1.97/2)</f>
        <v>0.18274111675126903</v>
      </c>
      <c r="F142" s="109">
        <f>F141/(1.97/2)</f>
        <v>0.04060913705583757</v>
      </c>
      <c r="G142" s="109">
        <f>G141/(1.97/2)</f>
        <v>0.12182741116751268</v>
      </c>
      <c r="H142" s="109">
        <f>SUM(D142:E142)</f>
        <v>1.8375634517766497</v>
      </c>
      <c r="I142" s="3" t="s">
        <v>533</v>
      </c>
      <c r="J142" s="2"/>
      <c r="L142" s="109">
        <f>L141/(1.96/2)</f>
        <v>0.868673469387755</v>
      </c>
      <c r="M142" s="109">
        <f>M141/(1.96/2)</f>
        <v>0.09255102040816326</v>
      </c>
      <c r="N142" s="109">
        <f>N141/(1.96/2)</f>
        <v>0.7751020408163266</v>
      </c>
      <c r="O142" s="109">
        <f>O141/(1.96/2)</f>
        <v>0.15857142857142859</v>
      </c>
      <c r="P142" s="109">
        <f>P141/(1.96/2)</f>
        <v>0.10714285714285714</v>
      </c>
      <c r="Q142" s="109">
        <f>SUM(L142:P142)</f>
        <v>2.0020408163265304</v>
      </c>
      <c r="R142" s="5" t="s">
        <v>539</v>
      </c>
      <c r="S142" s="4"/>
      <c r="U142" s="4"/>
      <c r="V142" s="92"/>
      <c r="W142" s="92"/>
    </row>
    <row r="143" spans="1:23" ht="15.75">
      <c r="A143" s="93" t="s">
        <v>468</v>
      </c>
      <c r="D143" s="109">
        <f>D142/(1.84/(2-0.12))</f>
        <v>1.6907967336128886</v>
      </c>
      <c r="E143" s="109">
        <f>E142/(1.84/(2-0.12))</f>
        <v>0.1867137497241227</v>
      </c>
      <c r="F143" s="109"/>
      <c r="G143" s="109">
        <v>0.12</v>
      </c>
      <c r="H143" s="109">
        <f>SUM(D143:G143)</f>
        <v>1.9975104833370114</v>
      </c>
      <c r="I143" s="3" t="s">
        <v>532</v>
      </c>
      <c r="J143" s="2"/>
      <c r="L143" s="109"/>
      <c r="M143" s="109"/>
      <c r="N143" s="109"/>
      <c r="O143" s="109"/>
      <c r="P143" s="109"/>
      <c r="Q143" s="109"/>
      <c r="R143" s="6" t="s">
        <v>537</v>
      </c>
      <c r="S143" s="4"/>
      <c r="U143" s="4"/>
      <c r="V143" s="92"/>
      <c r="W143" s="92"/>
    </row>
    <row r="144" spans="1:23" ht="15.75">
      <c r="A144" s="93" t="s">
        <v>648</v>
      </c>
      <c r="D144" s="109" t="s">
        <v>536</v>
      </c>
      <c r="E144" s="109">
        <f>G143</f>
        <v>0.12</v>
      </c>
      <c r="F144" s="109"/>
      <c r="G144" s="109"/>
      <c r="H144" s="109"/>
      <c r="I144" s="92"/>
      <c r="J144" s="92"/>
      <c r="L144" s="92"/>
      <c r="M144" s="113"/>
      <c r="N144" s="113"/>
      <c r="O144" s="113"/>
      <c r="P144" s="113"/>
      <c r="Q144" s="113"/>
      <c r="R144" s="6"/>
      <c r="S144" s="4"/>
      <c r="U144" s="4"/>
      <c r="V144" s="92"/>
      <c r="W144" s="92"/>
    </row>
    <row r="145" spans="1:21" s="92" customFormat="1" ht="15.75">
      <c r="A145" s="93" t="s">
        <v>469</v>
      </c>
      <c r="B145" s="1"/>
      <c r="D145" s="109" t="s">
        <v>534</v>
      </c>
      <c r="E145" s="109">
        <f>(D143-E144)/2</f>
        <v>0.7853983668064444</v>
      </c>
      <c r="F145" s="109"/>
      <c r="G145" s="109"/>
      <c r="H145" s="109"/>
      <c r="I145" s="6"/>
      <c r="K145" s="6"/>
      <c r="L145" s="113"/>
      <c r="M145" s="113"/>
      <c r="N145" s="113"/>
      <c r="O145" s="113"/>
      <c r="P145" s="113"/>
      <c r="Q145" s="113"/>
      <c r="R145" s="6"/>
      <c r="S145" s="4"/>
      <c r="T145" s="6"/>
      <c r="U145" s="4"/>
    </row>
    <row r="146" spans="1:21" s="92" customFormat="1" ht="15.75">
      <c r="A146" s="93" t="s">
        <v>470</v>
      </c>
      <c r="B146" s="1"/>
      <c r="D146" s="109" t="s">
        <v>535</v>
      </c>
      <c r="E146" s="109">
        <f>E143/2</f>
        <v>0.09335687486206135</v>
      </c>
      <c r="F146" s="109"/>
      <c r="G146" s="109"/>
      <c r="H146" s="109"/>
      <c r="I146" s="6"/>
      <c r="K146" s="6"/>
      <c r="L146" s="113" t="s">
        <v>542</v>
      </c>
      <c r="M146" s="113"/>
      <c r="N146" s="113"/>
      <c r="O146" s="113"/>
      <c r="P146" s="113"/>
      <c r="Q146" s="113"/>
      <c r="R146" s="6"/>
      <c r="S146" s="4"/>
      <c r="T146" s="6"/>
      <c r="U146" s="4"/>
    </row>
    <row r="147" spans="1:41" s="92" customFormat="1" ht="15.75">
      <c r="A147" s="93" t="s">
        <v>476</v>
      </c>
      <c r="B147" s="1"/>
      <c r="D147" s="109"/>
      <c r="E147" s="109">
        <f>SUM(E144:E146)</f>
        <v>0.9987552416685057</v>
      </c>
      <c r="F147" s="109"/>
      <c r="G147" s="109"/>
      <c r="H147" s="109"/>
      <c r="I147" s="3"/>
      <c r="J147" s="2"/>
      <c r="K147" s="2"/>
      <c r="L147" s="109" t="s">
        <v>540</v>
      </c>
      <c r="M147" s="109">
        <f>O142</f>
        <v>0.15857142857142859</v>
      </c>
      <c r="N147" s="109"/>
      <c r="O147" s="109"/>
      <c r="P147" s="109"/>
      <c r="Q147" s="112"/>
      <c r="R147" s="6"/>
      <c r="S147" s="4"/>
      <c r="T147" s="6"/>
      <c r="U147" s="4"/>
      <c r="AG147" s="99"/>
      <c r="AH147" s="99"/>
      <c r="AI147" s="99"/>
      <c r="AJ147" s="99"/>
      <c r="AK147" s="99"/>
      <c r="AL147" s="99"/>
      <c r="AM147" s="99"/>
      <c r="AN147" s="99"/>
      <c r="AO147" s="99"/>
    </row>
    <row r="148" spans="1:41" s="92" customFormat="1" ht="15.75">
      <c r="A148" s="93" t="s">
        <v>482</v>
      </c>
      <c r="B148" s="1"/>
      <c r="D148" s="3"/>
      <c r="E148" s="3"/>
      <c r="F148" s="6"/>
      <c r="G148" s="6"/>
      <c r="H148" s="3"/>
      <c r="I148" s="3"/>
      <c r="J148" s="2"/>
      <c r="K148" s="2"/>
      <c r="L148" s="113" t="s">
        <v>541</v>
      </c>
      <c r="M148" s="109">
        <f>(L142-M147)/2</f>
        <v>0.3550510204081632</v>
      </c>
      <c r="N148" s="109"/>
      <c r="O148" s="109"/>
      <c r="P148" s="109"/>
      <c r="Q148" s="109"/>
      <c r="R148" s="6"/>
      <c r="S148" s="4"/>
      <c r="T148" s="6"/>
      <c r="U148" s="4"/>
      <c r="AG148" s="99"/>
      <c r="AH148" s="99"/>
      <c r="AI148" s="99"/>
      <c r="AJ148" s="99"/>
      <c r="AK148" s="99"/>
      <c r="AL148" s="99"/>
      <c r="AM148" s="99"/>
      <c r="AN148" s="99"/>
      <c r="AO148" s="99"/>
    </row>
    <row r="149" spans="1:41" s="92" customFormat="1" ht="15.75">
      <c r="A149" s="93" t="s">
        <v>471</v>
      </c>
      <c r="B149" s="1"/>
      <c r="D149" s="3"/>
      <c r="E149" s="3"/>
      <c r="F149" s="6"/>
      <c r="G149" s="6"/>
      <c r="H149" s="3"/>
      <c r="I149" s="3"/>
      <c r="J149" s="2"/>
      <c r="K149" s="2"/>
      <c r="L149" s="109" t="str">
        <f>"CaFe"</f>
        <v>CaFe</v>
      </c>
      <c r="M149" s="109">
        <f>M142/2</f>
        <v>0.04627551020408163</v>
      </c>
      <c r="N149" s="109"/>
      <c r="O149" s="109"/>
      <c r="P149" s="109"/>
      <c r="Q149" s="109"/>
      <c r="R149" s="6"/>
      <c r="S149" s="4"/>
      <c r="U149" s="4"/>
      <c r="V149" s="4"/>
      <c r="W149" s="4"/>
      <c r="AG149" s="99"/>
      <c r="AH149" s="99"/>
      <c r="AI149" s="99"/>
      <c r="AJ149" s="99"/>
      <c r="AK149" s="99"/>
      <c r="AL149" s="99"/>
      <c r="AM149" s="99"/>
      <c r="AN149" s="99"/>
      <c r="AO149" s="99"/>
    </row>
    <row r="150" spans="1:41" s="92" customFormat="1" ht="15.75">
      <c r="A150" s="104" t="s">
        <v>509</v>
      </c>
      <c r="B150" s="1"/>
      <c r="D150" s="3"/>
      <c r="E150" s="3"/>
      <c r="F150" s="6"/>
      <c r="G150" s="6"/>
      <c r="H150" s="3"/>
      <c r="I150" s="3"/>
      <c r="J150" s="2"/>
      <c r="K150" s="2"/>
      <c r="L150" s="109"/>
      <c r="M150" s="109">
        <f>SUM(M147:M149)</f>
        <v>0.5598979591836734</v>
      </c>
      <c r="N150" s="109"/>
      <c r="O150" s="109"/>
      <c r="P150" s="109"/>
      <c r="Q150" s="109"/>
      <c r="R150" s="5"/>
      <c r="S150" s="4"/>
      <c r="U150" s="4"/>
      <c r="V150" s="4"/>
      <c r="W150" s="4"/>
      <c r="AG150" s="99"/>
      <c r="AH150" s="99"/>
      <c r="AI150" s="99"/>
      <c r="AJ150" s="99"/>
      <c r="AK150" s="99"/>
      <c r="AL150" s="99"/>
      <c r="AM150" s="99"/>
      <c r="AN150" s="99"/>
      <c r="AO150" s="99"/>
    </row>
    <row r="151" spans="1:41" s="92" customFormat="1" ht="15.75">
      <c r="A151" s="93" t="s">
        <v>480</v>
      </c>
      <c r="B151" s="1"/>
      <c r="R151" s="5"/>
      <c r="S151" s="4"/>
      <c r="AG151" s="99"/>
      <c r="AH151" s="99"/>
      <c r="AI151" s="99"/>
      <c r="AJ151" s="99"/>
      <c r="AK151" s="99"/>
      <c r="AL151" s="99"/>
      <c r="AM151" s="99"/>
      <c r="AN151" s="99"/>
      <c r="AO151" s="99"/>
    </row>
    <row r="152" spans="1:41" s="92" customFormat="1" ht="15.75">
      <c r="A152" s="93" t="s">
        <v>632</v>
      </c>
      <c r="B152" s="1"/>
      <c r="R152" s="5"/>
      <c r="S152" s="4"/>
      <c r="AG152" s="99"/>
      <c r="AH152" s="99"/>
      <c r="AI152" s="99"/>
      <c r="AJ152" s="99"/>
      <c r="AK152" s="99"/>
      <c r="AL152" s="99"/>
      <c r="AM152" s="99"/>
      <c r="AN152" s="99"/>
      <c r="AO152" s="99"/>
    </row>
    <row r="153" spans="1:41" s="92" customFormat="1" ht="15.75">
      <c r="A153" s="93" t="s">
        <v>472</v>
      </c>
      <c r="B153" s="1"/>
      <c r="AG153" s="99"/>
      <c r="AH153" s="99"/>
      <c r="AI153" s="99"/>
      <c r="AJ153" s="99"/>
      <c r="AK153" s="99"/>
      <c r="AL153" s="99"/>
      <c r="AM153" s="99"/>
      <c r="AN153" s="99"/>
      <c r="AO153" s="99"/>
    </row>
    <row r="154" spans="1:41" s="92" customFormat="1" ht="15.75">
      <c r="A154" s="93" t="s">
        <v>667</v>
      </c>
      <c r="B154" s="1"/>
      <c r="AG154" s="99"/>
      <c r="AH154" s="99"/>
      <c r="AI154" s="99"/>
      <c r="AJ154" s="99"/>
      <c r="AK154" s="99"/>
      <c r="AL154" s="99"/>
      <c r="AM154" s="99"/>
      <c r="AN154" s="99"/>
      <c r="AO154" s="99"/>
    </row>
    <row r="155" spans="1:256" s="159" customFormat="1" ht="15.75">
      <c r="A155" s="93" t="s">
        <v>473</v>
      </c>
      <c r="B155" s="13"/>
      <c r="C155" s="13"/>
      <c r="D155" s="92"/>
      <c r="E155" s="92"/>
      <c r="F155" s="92"/>
      <c r="G155" s="92"/>
      <c r="H155" s="92"/>
      <c r="I155" s="92"/>
      <c r="J155" s="92"/>
      <c r="K155" s="92"/>
      <c r="L155" s="92"/>
      <c r="M155" s="92"/>
      <c r="N155" s="92"/>
      <c r="O155" s="92"/>
      <c r="P155" s="92"/>
      <c r="Q155" s="92"/>
      <c r="R155" s="92"/>
      <c r="S155" s="92"/>
      <c r="T155" s="92"/>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159" customFormat="1" ht="15.75">
      <c r="A156" s="13" t="s">
        <v>608</v>
      </c>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19" ht="15.75">
      <c r="A157" s="13" t="s">
        <v>610</v>
      </c>
      <c r="D157" s="4"/>
      <c r="E157" s="2"/>
      <c r="G157" s="3"/>
      <c r="I157" s="6"/>
      <c r="K157" s="3"/>
      <c r="M157" s="2"/>
      <c r="O157" s="6"/>
      <c r="Q157" s="1"/>
      <c r="S157" s="6"/>
    </row>
    <row r="158" spans="1:19" ht="15.75">
      <c r="A158" s="93" t="s">
        <v>474</v>
      </c>
      <c r="D158" s="4"/>
      <c r="E158" s="2"/>
      <c r="G158" s="3"/>
      <c r="I158" s="6"/>
      <c r="K158" s="3"/>
      <c r="M158" s="2"/>
      <c r="O158" s="6"/>
      <c r="Q158" s="1"/>
      <c r="S158" s="6"/>
    </row>
    <row r="159" spans="1:19" ht="15.75">
      <c r="A159" s="93" t="s">
        <v>515</v>
      </c>
      <c r="D159" s="4"/>
      <c r="E159" s="2"/>
      <c r="G159" s="3"/>
      <c r="I159" s="6"/>
      <c r="K159" s="3"/>
      <c r="M159" s="2"/>
      <c r="O159" s="6"/>
      <c r="Q159" s="1"/>
      <c r="S159" s="6"/>
    </row>
    <row r="160" spans="1:19" ht="15.75">
      <c r="A160" s="93" t="s">
        <v>475</v>
      </c>
      <c r="D160" s="4"/>
      <c r="E160" s="2"/>
      <c r="G160" s="3"/>
      <c r="I160" s="6"/>
      <c r="K160" s="3"/>
      <c r="M160" s="2"/>
      <c r="O160" s="6"/>
      <c r="Q160" s="1"/>
      <c r="S160" s="6"/>
    </row>
    <row r="161" spans="1:2" ht="15.75">
      <c r="A161" s="1" t="s">
        <v>497</v>
      </c>
      <c r="B161" s="4"/>
    </row>
    <row r="162" spans="1:2" ht="15.75">
      <c r="A162" s="14" t="s">
        <v>668</v>
      </c>
      <c r="B162" s="175" t="s">
        <v>669</v>
      </c>
    </row>
  </sheetData>
  <sheetProtection/>
  <printOptions gridLines="1"/>
  <pageMargins left="0.75" right="0.75" top="1" bottom="1" header="0.5" footer="0.5"/>
  <pageSetup fitToWidth="2" fitToHeight="1" orientation="landscape" scale="72"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J127"/>
  <sheetViews>
    <sheetView tabSelected="1" zoomScale="85" zoomScaleNormal="85" zoomScalePageLayoutView="0" workbookViewId="0" topLeftCell="A1">
      <pane xSplit="1" ySplit="4" topLeftCell="B48" activePane="bottomRight" state="frozen"/>
      <selection pane="topLeft" activeCell="H21" sqref="H21"/>
      <selection pane="topRight" activeCell="H21" sqref="H21"/>
      <selection pane="bottomLeft" activeCell="H21" sqref="H21"/>
      <selection pane="bottomRight" activeCell="P36" sqref="P36"/>
    </sheetView>
  </sheetViews>
  <sheetFormatPr defaultColWidth="10.5" defaultRowHeight="12.75" customHeight="1"/>
  <cols>
    <col min="1" max="1" width="14" style="1" customWidth="1"/>
    <col min="2" max="2" width="6.5" style="181" customWidth="1"/>
    <col min="3" max="16384" width="6.69921875" style="1" customWidth="1"/>
  </cols>
  <sheetData>
    <row r="1" spans="1:2" ht="12.75" customHeight="1">
      <c r="A1" s="1" t="s">
        <v>147</v>
      </c>
      <c r="B1" s="105"/>
    </row>
    <row r="2" spans="1:2" s="15" customFormat="1" ht="12.75" customHeight="1">
      <c r="A2" s="15" t="s">
        <v>328</v>
      </c>
      <c r="B2" s="184"/>
    </row>
    <row r="3" spans="1:2" s="43" customFormat="1" ht="12.75" customHeight="1">
      <c r="A3" s="43" t="s">
        <v>146</v>
      </c>
      <c r="B3" s="185"/>
    </row>
    <row r="4" spans="1:2" s="15" customFormat="1" ht="12.75" customHeight="1">
      <c r="A4" s="43" t="s">
        <v>276</v>
      </c>
      <c r="B4" s="15" t="s">
        <v>674</v>
      </c>
    </row>
    <row r="5" spans="1:2" s="165" customFormat="1" ht="12.75" customHeight="1">
      <c r="A5" s="18"/>
      <c r="B5" s="164" t="s">
        <v>675</v>
      </c>
    </row>
    <row r="6" spans="1:2" s="40" customFormat="1" ht="12.75" customHeight="1">
      <c r="A6" s="18" t="s">
        <v>627</v>
      </c>
      <c r="B6" s="176">
        <v>44</v>
      </c>
    </row>
    <row r="7" spans="1:2" s="40" customFormat="1" ht="12.75" customHeight="1">
      <c r="A7" s="18" t="s">
        <v>148</v>
      </c>
      <c r="B7" s="176"/>
    </row>
    <row r="8" spans="1:2" s="40" customFormat="1" ht="12.75" customHeight="1">
      <c r="A8" s="18" t="s">
        <v>278</v>
      </c>
      <c r="B8" s="176"/>
    </row>
    <row r="9" spans="1:10" s="40" customFormat="1" ht="12.75" customHeight="1">
      <c r="A9" s="18" t="s">
        <v>279</v>
      </c>
      <c r="B9" s="176">
        <v>4.2</v>
      </c>
      <c r="D9"/>
      <c r="E9"/>
      <c r="F9"/>
      <c r="G9"/>
      <c r="H9"/>
      <c r="I9"/>
      <c r="J9"/>
    </row>
    <row r="10" spans="1:10" s="40" customFormat="1" ht="12.75" customHeight="1">
      <c r="A10" s="18" t="s">
        <v>158</v>
      </c>
      <c r="B10" s="176">
        <v>1.8</v>
      </c>
      <c r="C10" s="187"/>
      <c r="D10" s="176"/>
      <c r="E10" s="176"/>
      <c r="F10" s="176"/>
      <c r="G10" s="176"/>
      <c r="H10" s="176"/>
      <c r="I10" s="176"/>
      <c r="J10" s="176"/>
    </row>
    <row r="11" spans="1:10" s="40" customFormat="1" ht="12.75" customHeight="1">
      <c r="A11" s="18" t="s">
        <v>275</v>
      </c>
      <c r="B11" s="176"/>
      <c r="C11" s="187"/>
      <c r="D11" s="176"/>
      <c r="E11" s="176"/>
      <c r="F11" s="176"/>
      <c r="G11" s="176"/>
      <c r="H11" s="176"/>
      <c r="I11" s="176"/>
      <c r="J11" s="176"/>
    </row>
    <row r="12" spans="1:2" s="40" customFormat="1" ht="12.75" customHeight="1">
      <c r="A12" s="18" t="s">
        <v>281</v>
      </c>
      <c r="B12" s="176"/>
    </row>
    <row r="13" spans="1:2" s="40" customFormat="1" ht="12.75" customHeight="1">
      <c r="A13" s="18" t="s">
        <v>159</v>
      </c>
      <c r="B13" s="176"/>
    </row>
    <row r="14" spans="1:2" s="40" customFormat="1" ht="12.75" customHeight="1">
      <c r="A14" s="18" t="s">
        <v>331</v>
      </c>
      <c r="B14" s="176"/>
    </row>
    <row r="15" spans="1:2" s="40" customFormat="1" ht="12.75" customHeight="1">
      <c r="A15" s="18" t="s">
        <v>164</v>
      </c>
      <c r="B15" s="176"/>
    </row>
    <row r="16" spans="1:2" s="40" customFormat="1" ht="12.75" customHeight="1">
      <c r="A16" s="18" t="s">
        <v>162</v>
      </c>
      <c r="B16" s="176"/>
    </row>
    <row r="17" spans="1:2" s="40" customFormat="1" ht="12.75" customHeight="1">
      <c r="A17" s="18" t="s">
        <v>168</v>
      </c>
      <c r="B17" s="176"/>
    </row>
    <row r="18" spans="1:2" s="40" customFormat="1" ht="12.75" customHeight="1">
      <c r="A18" s="18" t="s">
        <v>161</v>
      </c>
      <c r="B18" s="176"/>
    </row>
    <row r="19" spans="1:2" s="40" customFormat="1" ht="12.75" customHeight="1">
      <c r="A19" s="18" t="s">
        <v>330</v>
      </c>
      <c r="B19" s="176"/>
    </row>
    <row r="20" spans="1:2" s="115" customFormat="1" ht="15.75">
      <c r="A20" s="101" t="s">
        <v>551</v>
      </c>
      <c r="B20" s="176"/>
    </row>
    <row r="21" spans="1:2" s="40" customFormat="1" ht="12.75" customHeight="1">
      <c r="A21" s="18" t="s">
        <v>282</v>
      </c>
      <c r="B21" s="176"/>
    </row>
    <row r="22" spans="1:2" s="40" customFormat="1" ht="12.75" customHeight="1">
      <c r="A22" s="18" t="s">
        <v>332</v>
      </c>
      <c r="B22" s="176"/>
    </row>
    <row r="23" spans="1:2" s="40" customFormat="1" ht="12.75" customHeight="1">
      <c r="A23" s="18" t="s">
        <v>160</v>
      </c>
      <c r="B23" s="176"/>
    </row>
    <row r="24" spans="1:2" s="115" customFormat="1" ht="15.75">
      <c r="A24" s="101" t="s">
        <v>489</v>
      </c>
      <c r="B24" s="176"/>
    </row>
    <row r="25" spans="1:2" s="115" customFormat="1" ht="15.75">
      <c r="A25" s="101" t="s">
        <v>552</v>
      </c>
      <c r="B25" s="176"/>
    </row>
    <row r="26" spans="1:2" s="40" customFormat="1" ht="12.75" customHeight="1">
      <c r="A26" s="18" t="s">
        <v>170</v>
      </c>
      <c r="B26" s="176"/>
    </row>
    <row r="27" spans="1:2" s="40" customFormat="1" ht="12.75" customHeight="1">
      <c r="A27" s="18" t="s">
        <v>166</v>
      </c>
      <c r="B27" s="176"/>
    </row>
    <row r="28" spans="1:2" s="40" customFormat="1" ht="12.75" customHeight="1">
      <c r="A28" s="18" t="s">
        <v>283</v>
      </c>
      <c r="B28" s="176"/>
    </row>
    <row r="29" spans="1:2" s="40" customFormat="1" ht="12.75" customHeight="1">
      <c r="A29" s="18" t="s">
        <v>167</v>
      </c>
      <c r="B29" s="176"/>
    </row>
    <row r="30" spans="1:2" s="40" customFormat="1" ht="12.75" customHeight="1">
      <c r="A30" s="18" t="s">
        <v>280</v>
      </c>
      <c r="B30" s="176"/>
    </row>
    <row r="31" spans="1:2" s="40" customFormat="1" ht="12.75" customHeight="1">
      <c r="A31" s="18" t="s">
        <v>285</v>
      </c>
      <c r="B31" s="176"/>
    </row>
    <row r="32" spans="1:2" s="40" customFormat="1" ht="12.75" customHeight="1">
      <c r="A32" s="18" t="s">
        <v>169</v>
      </c>
      <c r="B32" s="176"/>
    </row>
    <row r="33" spans="1:2" s="40" customFormat="1" ht="12.75" customHeight="1">
      <c r="A33" s="18" t="s">
        <v>157</v>
      </c>
      <c r="B33" s="176"/>
    </row>
    <row r="34" spans="1:2" s="40" customFormat="1" ht="12.75" customHeight="1">
      <c r="A34" s="18" t="s">
        <v>290</v>
      </c>
      <c r="B34" s="176">
        <f>20*0.95/2.5</f>
        <v>7.6</v>
      </c>
    </row>
    <row r="35" spans="1:2" s="40" customFormat="1" ht="12.75" customHeight="1">
      <c r="A35" s="18" t="s">
        <v>274</v>
      </c>
      <c r="B35" s="176">
        <f>20-B34</f>
        <v>12.4</v>
      </c>
    </row>
    <row r="36" spans="1:2" s="40" customFormat="1" ht="12.75" customHeight="1">
      <c r="A36" s="18" t="s">
        <v>336</v>
      </c>
      <c r="B36" s="176">
        <v>24</v>
      </c>
    </row>
    <row r="37" spans="1:2" s="40" customFormat="1" ht="12.75" customHeight="1">
      <c r="A37" s="18" t="s">
        <v>256</v>
      </c>
      <c r="B37" s="176"/>
    </row>
    <row r="38" spans="1:2" s="40" customFormat="1" ht="12.75" customHeight="1">
      <c r="A38" s="18" t="s">
        <v>163</v>
      </c>
      <c r="B38" s="176"/>
    </row>
    <row r="39" spans="1:2" s="40" customFormat="1" ht="12.75" customHeight="1">
      <c r="A39" s="18" t="s">
        <v>269</v>
      </c>
      <c r="B39" s="176">
        <v>1.5</v>
      </c>
    </row>
    <row r="40" spans="1:2" s="40" customFormat="1" ht="12.75" customHeight="1">
      <c r="A40" s="18" t="s">
        <v>270</v>
      </c>
      <c r="B40" s="176">
        <v>1.5</v>
      </c>
    </row>
    <row r="41" spans="1:2" s="40" customFormat="1" ht="12.75" customHeight="1">
      <c r="A41" s="18" t="s">
        <v>172</v>
      </c>
      <c r="B41" s="176"/>
    </row>
    <row r="42" spans="1:2" s="40" customFormat="1" ht="12.75" customHeight="1">
      <c r="A42" s="18" t="s">
        <v>155</v>
      </c>
      <c r="B42" s="176"/>
    </row>
    <row r="43" spans="1:2" s="40" customFormat="1" ht="12.75" customHeight="1">
      <c r="A43" s="18" t="s">
        <v>335</v>
      </c>
      <c r="B43" s="176"/>
    </row>
    <row r="44" spans="1:2" s="40" customFormat="1" ht="12.75" customHeight="1">
      <c r="A44" s="18" t="s">
        <v>154</v>
      </c>
      <c r="B44" s="176"/>
    </row>
    <row r="45" spans="1:2" s="40" customFormat="1" ht="12.75" customHeight="1">
      <c r="A45" s="18" t="s">
        <v>277</v>
      </c>
      <c r="B45" s="176"/>
    </row>
    <row r="46" spans="1:2" s="40" customFormat="1" ht="12.75" customHeight="1">
      <c r="A46" s="18" t="s">
        <v>333</v>
      </c>
      <c r="B46" s="176"/>
    </row>
    <row r="47" spans="1:2" s="40" customFormat="1" ht="12.75" customHeight="1">
      <c r="A47" s="18" t="s">
        <v>334</v>
      </c>
      <c r="B47" s="176"/>
    </row>
    <row r="48" spans="1:2" s="40" customFormat="1" ht="12.75" customHeight="1">
      <c r="A48" s="18" t="s">
        <v>338</v>
      </c>
      <c r="B48" s="176"/>
    </row>
    <row r="49" spans="1:2" s="40" customFormat="1" ht="12.75" customHeight="1">
      <c r="A49" s="18" t="s">
        <v>339</v>
      </c>
      <c r="B49" s="176"/>
    </row>
    <row r="50" spans="1:2" s="40" customFormat="1" ht="12.75" customHeight="1">
      <c r="A50" s="18" t="s">
        <v>173</v>
      </c>
      <c r="B50" s="176"/>
    </row>
    <row r="51" spans="1:2" s="40" customFormat="1" ht="12.75" customHeight="1">
      <c r="A51" s="18" t="s">
        <v>151</v>
      </c>
      <c r="B51" s="176"/>
    </row>
    <row r="52" spans="1:2" s="40" customFormat="1" ht="12.75" customHeight="1">
      <c r="A52" s="18" t="s">
        <v>340</v>
      </c>
      <c r="B52" s="176"/>
    </row>
    <row r="53" spans="1:2" s="40" customFormat="1" ht="12.75" customHeight="1">
      <c r="A53" s="18" t="s">
        <v>341</v>
      </c>
      <c r="B53" s="176"/>
    </row>
    <row r="54" spans="1:2" s="40" customFormat="1" ht="12.75" customHeight="1">
      <c r="A54" s="18" t="s">
        <v>342</v>
      </c>
      <c r="B54" s="176"/>
    </row>
    <row r="55" spans="1:2" s="40" customFormat="1" ht="12.75" customHeight="1">
      <c r="A55" s="18" t="s">
        <v>343</v>
      </c>
      <c r="B55" s="176"/>
    </row>
    <row r="56" spans="1:2" s="40" customFormat="1" ht="12.75" customHeight="1">
      <c r="A56" s="18" t="s">
        <v>344</v>
      </c>
      <c r="B56" s="176">
        <v>0.4</v>
      </c>
    </row>
    <row r="57" spans="1:2" s="40" customFormat="1" ht="12.75" customHeight="1">
      <c r="A57" s="18" t="s">
        <v>345</v>
      </c>
      <c r="B57" s="176"/>
    </row>
    <row r="58" spans="1:2" s="40" customFormat="1" ht="12.75" customHeight="1">
      <c r="A58" s="18" t="s">
        <v>171</v>
      </c>
      <c r="B58" s="176"/>
    </row>
    <row r="59" spans="1:2" s="40" customFormat="1" ht="12.75" customHeight="1">
      <c r="A59" s="18" t="s">
        <v>337</v>
      </c>
      <c r="B59" s="176"/>
    </row>
    <row r="60" spans="1:2" s="40" customFormat="1" ht="12.75" customHeight="1">
      <c r="A60" s="18" t="s">
        <v>596</v>
      </c>
      <c r="B60" s="176"/>
    </row>
    <row r="61" spans="1:2" s="169" customFormat="1" ht="12.75" customHeight="1">
      <c r="A61" s="60" t="s">
        <v>97</v>
      </c>
      <c r="B61" s="166">
        <f>SUM(B6:B60)</f>
        <v>97.4</v>
      </c>
    </row>
    <row r="62" spans="1:2" ht="12" customHeight="1">
      <c r="A62" s="11"/>
      <c r="B62" s="166"/>
    </row>
    <row r="63" spans="1:2" s="15" customFormat="1" ht="12.75" customHeight="1">
      <c r="A63" s="116" t="s">
        <v>189</v>
      </c>
      <c r="B63" s="80">
        <v>0.01</v>
      </c>
    </row>
    <row r="64" spans="1:2" s="16" customFormat="1" ht="12.75" customHeight="1">
      <c r="A64" s="126" t="s">
        <v>190</v>
      </c>
      <c r="B64" s="80">
        <v>25</v>
      </c>
    </row>
    <row r="65" spans="1:2" s="127" customFormat="1" ht="12.75" customHeight="1">
      <c r="A65" s="116" t="s">
        <v>563</v>
      </c>
      <c r="B65">
        <v>1100</v>
      </c>
    </row>
    <row r="66" spans="1:2" s="15" customFormat="1" ht="12.75" customHeight="1">
      <c r="A66" s="116" t="s">
        <v>564</v>
      </c>
      <c r="B66" s="109">
        <v>0.01</v>
      </c>
    </row>
    <row r="67" spans="1:2" s="130" customFormat="1" ht="12.75" customHeight="1">
      <c r="A67" s="129" t="s">
        <v>81</v>
      </c>
      <c r="B67" s="177"/>
    </row>
    <row r="68" spans="1:2" s="45" customFormat="1" ht="12.75" customHeight="1">
      <c r="A68" s="42" t="s">
        <v>186</v>
      </c>
      <c r="B68" s="178">
        <v>2.8034404190933824</v>
      </c>
    </row>
    <row r="69" spans="1:2" s="45" customFormat="1" ht="12.75" customHeight="1">
      <c r="A69" s="42" t="s">
        <v>182</v>
      </c>
      <c r="B69" s="178">
        <v>5.9430258199869685</v>
      </c>
    </row>
    <row r="70" spans="1:2" s="45" customFormat="1" ht="12.75" customHeight="1">
      <c r="A70" s="42" t="s">
        <v>183</v>
      </c>
      <c r="B70" s="178">
        <v>3.675242964915801</v>
      </c>
    </row>
    <row r="71" spans="1:2" s="45" customFormat="1" ht="12.75" customHeight="1">
      <c r="A71" s="42" t="s">
        <v>422</v>
      </c>
      <c r="B71" s="178">
        <v>1.6170429755854583</v>
      </c>
    </row>
    <row r="72" spans="1:2" s="45" customFormat="1" ht="12.75" customHeight="1">
      <c r="A72" s="42" t="s">
        <v>185</v>
      </c>
      <c r="B72" s="178">
        <v>0.19036949775553044</v>
      </c>
    </row>
    <row r="73" spans="1:2" s="17" customFormat="1" ht="12.75" customHeight="1">
      <c r="A73" s="41" t="s">
        <v>184</v>
      </c>
      <c r="B73" s="179">
        <v>48.5266418695654</v>
      </c>
    </row>
    <row r="74" spans="1:2" s="43" customFormat="1" ht="12.75" customHeight="1">
      <c r="A74" s="18" t="s">
        <v>187</v>
      </c>
      <c r="B74" s="179">
        <v>37.867221537451144</v>
      </c>
    </row>
    <row r="75" spans="1:2" s="43" customFormat="1" ht="12.75" customHeight="1">
      <c r="A75" s="18" t="s">
        <v>566</v>
      </c>
      <c r="B75" s="178">
        <v>37.867220992</v>
      </c>
    </row>
    <row r="76" spans="1:2" s="43" customFormat="1" ht="12.75" customHeight="1">
      <c r="A76" s="18" t="s">
        <v>567</v>
      </c>
      <c r="B76" s="178">
        <v>1</v>
      </c>
    </row>
    <row r="77" spans="1:2" s="17" customFormat="1" ht="12.75" customHeight="1">
      <c r="A77" s="41" t="s">
        <v>565</v>
      </c>
      <c r="B77" s="179"/>
    </row>
    <row r="78" spans="1:2" s="45" customFormat="1" ht="12.75" customHeight="1">
      <c r="A78" s="42" t="s">
        <v>568</v>
      </c>
      <c r="B78" s="179">
        <v>1.6170429755854583</v>
      </c>
    </row>
    <row r="79" ht="12.75" customHeight="1">
      <c r="B79" s="6">
        <f>((B69/B70)^2-2)/(2*((B69/B70)^2-1))</f>
        <v>0.1903694977555304</v>
      </c>
    </row>
    <row r="80" ht="12.75" customHeight="1">
      <c r="A80" s="12"/>
    </row>
    <row r="81" spans="1:2" s="6" customFormat="1" ht="12.75" customHeight="1">
      <c r="A81" s="128"/>
      <c r="B81" s="181"/>
    </row>
    <row r="82" spans="1:2" s="6" customFormat="1" ht="12.75" customHeight="1">
      <c r="A82" s="128"/>
      <c r="B82" s="181"/>
    </row>
    <row r="83" spans="1:2" s="6" customFormat="1" ht="12.75" customHeight="1">
      <c r="A83" s="128"/>
      <c r="B83" s="181"/>
    </row>
    <row r="84" spans="1:2" s="6" customFormat="1" ht="12.75" customHeight="1">
      <c r="A84" s="129"/>
      <c r="B84" s="181"/>
    </row>
    <row r="85" spans="1:2" s="6" customFormat="1" ht="12.75" customHeight="1">
      <c r="A85" s="128"/>
      <c r="B85" s="181"/>
    </row>
    <row r="86" spans="1:2" s="6" customFormat="1" ht="12.75" customHeight="1">
      <c r="A86" s="129" t="s">
        <v>82</v>
      </c>
      <c r="B86" s="181"/>
    </row>
    <row r="87" spans="1:2" s="45" customFormat="1" ht="12.75" customHeight="1">
      <c r="A87" s="42" t="s">
        <v>83</v>
      </c>
      <c r="B87" s="178">
        <v>5.962442486612562</v>
      </c>
    </row>
    <row r="88" spans="1:2" s="45" customFormat="1" ht="12.75" customHeight="1">
      <c r="A88" s="42" t="s">
        <v>84</v>
      </c>
      <c r="B88" s="178">
        <v>5.92354550821558</v>
      </c>
    </row>
    <row r="89" spans="1:2" s="45" customFormat="1" ht="12.75" customHeight="1">
      <c r="A89" s="42" t="s">
        <v>312</v>
      </c>
      <c r="B89" s="178">
        <v>6.010647331549782</v>
      </c>
    </row>
    <row r="90" spans="1:2" s="45" customFormat="1" ht="12.75" customHeight="1">
      <c r="A90" s="42" t="s">
        <v>313</v>
      </c>
      <c r="B90" s="178">
        <v>5.867702164355901</v>
      </c>
    </row>
    <row r="91" spans="1:2" s="45" customFormat="1" ht="12.75" customHeight="1">
      <c r="A91" s="42" t="s">
        <v>320</v>
      </c>
      <c r="B91" s="178">
        <v>5.939174747952841</v>
      </c>
    </row>
    <row r="92" spans="1:2" s="45" customFormat="1" ht="12.75" customHeight="1">
      <c r="A92" s="42" t="s">
        <v>85</v>
      </c>
      <c r="B92" s="178">
        <v>3.6857380741403776</v>
      </c>
    </row>
    <row r="93" spans="1:2" s="45" customFormat="1" ht="12.75" customHeight="1">
      <c r="A93" s="42" t="s">
        <v>86</v>
      </c>
      <c r="B93" s="178">
        <v>3.664717799661817</v>
      </c>
    </row>
    <row r="94" spans="1:2" s="45" customFormat="1" ht="12.75" customHeight="1">
      <c r="A94" s="42" t="s">
        <v>314</v>
      </c>
      <c r="B94" s="178">
        <v>3.7056476552248023</v>
      </c>
    </row>
    <row r="95" spans="1:2" s="45" customFormat="1" ht="12.75" customHeight="1">
      <c r="A95" s="42" t="s">
        <v>315</v>
      </c>
      <c r="B95" s="178">
        <v>3.632594140619852</v>
      </c>
    </row>
    <row r="96" spans="1:2" s="45" customFormat="1" ht="12.75" customHeight="1">
      <c r="A96" s="42" t="s">
        <v>321</v>
      </c>
      <c r="B96" s="178">
        <v>3.669120897922327</v>
      </c>
    </row>
    <row r="97" spans="1:2" s="17" customFormat="1" ht="12.75" customHeight="1">
      <c r="A97" s="41" t="s">
        <v>87</v>
      </c>
      <c r="B97" s="179">
        <v>48.885927361679116</v>
      </c>
    </row>
    <row r="98" spans="1:2" s="17" customFormat="1" ht="12.75" customHeight="1">
      <c r="A98" s="41" t="s">
        <v>88</v>
      </c>
      <c r="B98" s="179">
        <v>48.16735637745168</v>
      </c>
    </row>
    <row r="99" spans="1:2" s="17" customFormat="1" ht="12.75" customHeight="1">
      <c r="A99" s="41" t="s">
        <v>316</v>
      </c>
      <c r="B99" s="179">
        <v>49.95389354147973</v>
      </c>
    </row>
    <row r="100" spans="1:2" s="17" customFormat="1" ht="12.75" customHeight="1">
      <c r="A100" s="41" t="s">
        <v>317</v>
      </c>
      <c r="B100" s="179">
        <v>47.19762516848218</v>
      </c>
    </row>
    <row r="101" spans="1:2" s="17" customFormat="1" ht="12.75" customHeight="1">
      <c r="A101" s="41" t="s">
        <v>192</v>
      </c>
      <c r="B101" s="179">
        <v>48.57575935498096</v>
      </c>
    </row>
    <row r="102" spans="1:2" s="17" customFormat="1" ht="12.75" customHeight="1">
      <c r="A102" s="41" t="s">
        <v>89</v>
      </c>
      <c r="B102" s="179">
        <v>38.08379936463374</v>
      </c>
    </row>
    <row r="103" spans="1:2" s="17" customFormat="1" ht="12.75" customHeight="1">
      <c r="A103" s="41" t="s">
        <v>90</v>
      </c>
      <c r="B103" s="179">
        <v>37.65064371026854</v>
      </c>
    </row>
    <row r="104" spans="1:2" s="17" customFormat="1" ht="12.75" customHeight="1">
      <c r="A104" s="41" t="s">
        <v>318</v>
      </c>
      <c r="B104" s="179">
        <v>38.496351956435085</v>
      </c>
    </row>
    <row r="105" spans="1:2" s="17" customFormat="1" ht="12.75" customHeight="1">
      <c r="A105" s="41" t="s">
        <v>319</v>
      </c>
      <c r="B105" s="179">
        <v>36.99347140980649</v>
      </c>
    </row>
    <row r="106" spans="1:2" s="17" customFormat="1" ht="12.75" customHeight="1">
      <c r="A106" s="41" t="s">
        <v>193</v>
      </c>
      <c r="B106" s="179">
        <v>37.74491168312079</v>
      </c>
    </row>
    <row r="107" spans="1:2" s="6" customFormat="1" ht="12.75" customHeight="1">
      <c r="A107" s="128"/>
      <c r="B107" s="181"/>
    </row>
    <row r="108" spans="1:2" s="6" customFormat="1" ht="12.75" customHeight="1">
      <c r="A108" s="128"/>
      <c r="B108" s="181">
        <f>100-B109</f>
        <v>33.04448699951172</v>
      </c>
    </row>
    <row r="109" spans="1:2" s="131" customFormat="1" ht="12.75" customHeight="1">
      <c r="A109" s="42" t="s">
        <v>423</v>
      </c>
      <c r="B109" s="186">
        <v>66.95551300048828</v>
      </c>
    </row>
    <row r="110" spans="1:2" s="131" customFormat="1" ht="12.75" customHeight="1">
      <c r="A110" s="42" t="s">
        <v>424</v>
      </c>
      <c r="B110" s="186">
        <v>14.339639663696289</v>
      </c>
    </row>
    <row r="111" spans="1:2" s="132" customFormat="1" ht="12.75" customHeight="1">
      <c r="A111" s="18" t="s">
        <v>425</v>
      </c>
      <c r="B111" s="186">
        <v>7.527040958404541</v>
      </c>
    </row>
    <row r="112" spans="1:2" s="132" customFormat="1" ht="12.75" customHeight="1">
      <c r="A112" s="18" t="s">
        <v>426</v>
      </c>
      <c r="B112" s="186">
        <v>2.7743101119995117</v>
      </c>
    </row>
    <row r="113" spans="1:2" s="132" customFormat="1" ht="12.75" customHeight="1">
      <c r="A113" s="18" t="s">
        <v>427</v>
      </c>
      <c r="B113" s="186">
        <v>0.36678385734558105</v>
      </c>
    </row>
    <row r="114" spans="1:2" s="132" customFormat="1" ht="12.75" customHeight="1">
      <c r="A114" s="18" t="s">
        <v>428</v>
      </c>
      <c r="B114" s="186">
        <v>0.47633424401283264</v>
      </c>
    </row>
    <row r="115" spans="1:2" s="132" customFormat="1" ht="12.75" customHeight="1">
      <c r="A115" s="18" t="s">
        <v>429</v>
      </c>
      <c r="B115" s="186">
        <v>5.202185153961182</v>
      </c>
    </row>
    <row r="116" spans="1:2" s="132" customFormat="1" ht="12.75" customHeight="1">
      <c r="A116" s="18" t="s">
        <v>191</v>
      </c>
      <c r="B116" s="186">
        <v>2.2612936344969197</v>
      </c>
    </row>
    <row r="117" spans="1:2" s="132" customFormat="1" ht="12.75" customHeight="1">
      <c r="A117" s="18" t="s">
        <v>430</v>
      </c>
      <c r="B117" s="186">
        <v>0</v>
      </c>
    </row>
    <row r="119" ht="12.75" customHeight="1">
      <c r="B119" s="181">
        <v>55</v>
      </c>
    </row>
    <row r="120" ht="12.75" customHeight="1">
      <c r="B120" s="180">
        <f>(B119-139)/(-276)</f>
        <v>0.30434782608695654</v>
      </c>
    </row>
    <row r="121" ht="12.75" customHeight="1">
      <c r="B121" s="182">
        <f>SQRT((B119-100.9)/(-496.9))</f>
        <v>0.30392879232972225</v>
      </c>
    </row>
    <row r="123" ht="12.75" customHeight="1">
      <c r="B123" s="183">
        <f>B72^2</f>
        <v>0.03624054567569291</v>
      </c>
    </row>
    <row r="126" ht="12.75" customHeight="1">
      <c r="B126" s="181">
        <v>0.08</v>
      </c>
    </row>
    <row r="127" ht="12.75" customHeight="1">
      <c r="B127" s="181">
        <v>0.25</v>
      </c>
    </row>
  </sheetData>
  <sheetProtection/>
  <printOptions gridLines="1"/>
  <pageMargins left="0.75" right="0.75" top="1" bottom="1" header="0.5" footer="0.5"/>
  <pageSetup fitToHeight="1" fitToWidth="1" orientation="portrait" scale="72"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1">
    <pageSetUpPr fitToPage="1"/>
  </sheetPr>
  <dimension ref="A1:AR73"/>
  <sheetViews>
    <sheetView zoomScale="75" zoomScaleNormal="75" zoomScalePageLayoutView="0" workbookViewId="0" topLeftCell="A1">
      <pane xSplit="1" ySplit="4" topLeftCell="B5" activePane="bottomRight" state="frozen"/>
      <selection pane="topLeft" activeCell="AR64" sqref="AR64"/>
      <selection pane="topRight" activeCell="AR64" sqref="AR64"/>
      <selection pane="bottomLeft" activeCell="AR64" sqref="AR64"/>
      <selection pane="bottomRight" activeCell="N54" activeCellId="9" sqref="N13 N14 N18 N20 N21 N25:N26 N43:N44 N51 N53 N54"/>
    </sheetView>
  </sheetViews>
  <sheetFormatPr defaultColWidth="10.8984375" defaultRowHeight="15"/>
  <cols>
    <col min="1" max="1" width="12.09765625" style="14" customWidth="1"/>
    <col min="2" max="2" width="11.8984375" style="7" bestFit="1" customWidth="1"/>
    <col min="3" max="3" width="9.3984375" style="5" bestFit="1" customWidth="1"/>
    <col min="4" max="5" width="11.09765625" style="7" bestFit="1" customWidth="1"/>
    <col min="6" max="6" width="6.5" style="8" bestFit="1" customWidth="1"/>
    <col min="7" max="7" width="8.09765625" style="2" bestFit="1" customWidth="1"/>
    <col min="8" max="8" width="11.3984375" style="9" bestFit="1" customWidth="1"/>
    <col min="9" max="9" width="9" style="2" bestFit="1" customWidth="1"/>
    <col min="10" max="10" width="8.09765625" style="2" bestFit="1" customWidth="1"/>
    <col min="11" max="11" width="9.8984375" style="5" bestFit="1" customWidth="1"/>
    <col min="12" max="12" width="7.8984375" style="1" customWidth="1"/>
    <col min="13" max="14" width="7.8984375" style="6" customWidth="1"/>
    <col min="15" max="15" width="9.5" style="8" bestFit="1" customWidth="1"/>
    <col min="16" max="16" width="7.09765625" style="6" bestFit="1" customWidth="1"/>
    <col min="17" max="17" width="10.8984375" style="4" customWidth="1"/>
    <col min="18" max="24" width="7.69921875" style="4" customWidth="1"/>
    <col min="25" max="25" width="13.09765625" style="4" bestFit="1" customWidth="1"/>
    <col min="26" max="31" width="7.69921875" style="4" customWidth="1"/>
    <col min="32" max="16384" width="10.8984375" style="4" customWidth="1"/>
  </cols>
  <sheetData>
    <row r="1" spans="1:4" ht="15.75">
      <c r="A1" s="18" t="s">
        <v>152</v>
      </c>
      <c r="B1" s="43">
        <v>1.06</v>
      </c>
      <c r="D1" s="7" t="s">
        <v>93</v>
      </c>
    </row>
    <row r="2" spans="1:4" ht="15.75">
      <c r="A2" s="18" t="s">
        <v>153</v>
      </c>
      <c r="B2" s="17">
        <v>1000</v>
      </c>
      <c r="D2" s="7" t="s">
        <v>95</v>
      </c>
    </row>
    <row r="3" spans="1:32" ht="15.75">
      <c r="A3" s="19"/>
      <c r="B3" s="23" t="s">
        <v>262</v>
      </c>
      <c r="C3" s="24" t="s">
        <v>263</v>
      </c>
      <c r="D3" s="23" t="s">
        <v>287</v>
      </c>
      <c r="E3" s="23" t="s">
        <v>180</v>
      </c>
      <c r="F3" s="29" t="s">
        <v>91</v>
      </c>
      <c r="G3" s="25" t="s">
        <v>174</v>
      </c>
      <c r="H3" s="26" t="s">
        <v>264</v>
      </c>
      <c r="I3" s="25" t="s">
        <v>165</v>
      </c>
      <c r="J3" s="25" t="s">
        <v>181</v>
      </c>
      <c r="K3" s="24" t="s">
        <v>265</v>
      </c>
      <c r="L3" s="27" t="s">
        <v>266</v>
      </c>
      <c r="M3" s="28" t="s">
        <v>156</v>
      </c>
      <c r="N3" s="28" t="s">
        <v>271</v>
      </c>
      <c r="O3" s="29" t="s">
        <v>329</v>
      </c>
      <c r="P3" s="91"/>
      <c r="R3" s="23"/>
      <c r="S3" s="24"/>
      <c r="T3" s="23"/>
      <c r="U3" s="23"/>
      <c r="V3" s="29"/>
      <c r="W3" s="25"/>
      <c r="X3" s="26"/>
      <c r="Y3" s="25"/>
      <c r="Z3" s="25"/>
      <c r="AA3" s="24"/>
      <c r="AB3" s="27"/>
      <c r="AC3" s="28"/>
      <c r="AD3" s="28"/>
      <c r="AE3" s="29"/>
      <c r="AF3" s="91"/>
    </row>
    <row r="4" spans="1:16" s="10" customFormat="1" ht="15.75">
      <c r="A4" s="20" t="s">
        <v>273</v>
      </c>
      <c r="B4" s="30" t="s">
        <v>149</v>
      </c>
      <c r="C4" s="31" t="s">
        <v>272</v>
      </c>
      <c r="D4" s="30" t="s">
        <v>150</v>
      </c>
      <c r="E4" s="30" t="s">
        <v>150</v>
      </c>
      <c r="F4" s="36" t="s">
        <v>92</v>
      </c>
      <c r="G4" s="32" t="s">
        <v>150</v>
      </c>
      <c r="H4" s="33" t="s">
        <v>149</v>
      </c>
      <c r="I4" s="32" t="s">
        <v>150</v>
      </c>
      <c r="J4" s="32" t="s">
        <v>150</v>
      </c>
      <c r="K4" s="31" t="s">
        <v>272</v>
      </c>
      <c r="L4" s="34" t="s">
        <v>286</v>
      </c>
      <c r="M4" s="35" t="s">
        <v>286</v>
      </c>
      <c r="N4" s="35" t="s">
        <v>286</v>
      </c>
      <c r="O4" s="36" t="s">
        <v>267</v>
      </c>
      <c r="P4" s="35" t="s">
        <v>422</v>
      </c>
    </row>
    <row r="5" spans="1:31" ht="15.75">
      <c r="A5" s="22"/>
      <c r="B5" s="46"/>
      <c r="C5" s="17"/>
      <c r="D5" s="46"/>
      <c r="E5" s="46"/>
      <c r="F5" s="44"/>
      <c r="G5" s="47"/>
      <c r="H5" s="48"/>
      <c r="I5" s="47"/>
      <c r="J5" s="47"/>
      <c r="K5" s="17"/>
      <c r="L5" s="43"/>
      <c r="M5" s="45"/>
      <c r="N5" s="45"/>
      <c r="O5" s="44"/>
      <c r="P5" s="45"/>
      <c r="R5" s="6"/>
      <c r="S5" s="6"/>
      <c r="T5" s="6"/>
      <c r="U5" s="6"/>
      <c r="V5" s="6"/>
      <c r="W5" s="6"/>
      <c r="X5" s="6"/>
      <c r="Y5" s="6"/>
      <c r="Z5" s="6"/>
      <c r="AA5" s="6"/>
      <c r="AB5" s="6"/>
      <c r="AC5" s="6"/>
      <c r="AD5" s="6"/>
      <c r="AE5" s="6"/>
    </row>
    <row r="6" spans="1:31" ht="15.75">
      <c r="A6" s="18" t="s">
        <v>627</v>
      </c>
      <c r="B6" s="46">
        <v>0</v>
      </c>
      <c r="C6" s="17">
        <v>2522</v>
      </c>
      <c r="D6" s="46">
        <v>69313762345.52509</v>
      </c>
      <c r="E6" s="46">
        <v>42700599567.19587</v>
      </c>
      <c r="F6" s="44">
        <v>0.004973012610940413</v>
      </c>
      <c r="G6" s="47">
        <v>73523463502.69366</v>
      </c>
      <c r="H6" s="48">
        <v>0</v>
      </c>
      <c r="I6" s="47">
        <v>73523463502.69366</v>
      </c>
      <c r="J6" s="47">
        <v>43741934622.13571</v>
      </c>
      <c r="K6" s="17">
        <v>2572.913644672875</v>
      </c>
      <c r="L6" s="43">
        <v>5.345648192790906</v>
      </c>
      <c r="M6" s="45">
        <v>7.158482127781923</v>
      </c>
      <c r="N6" s="45">
        <v>4.123218867524911</v>
      </c>
      <c r="O6" s="44">
        <v>0.2517599608687239</v>
      </c>
      <c r="P6" s="45">
        <v>1.736139253766808</v>
      </c>
      <c r="R6" s="6"/>
      <c r="S6" s="6"/>
      <c r="T6" s="6"/>
      <c r="U6" s="6"/>
      <c r="V6" s="6"/>
      <c r="W6" s="6"/>
      <c r="X6" s="6"/>
      <c r="Y6" s="6"/>
      <c r="Z6" s="6"/>
      <c r="AA6" s="6"/>
      <c r="AB6" s="6"/>
      <c r="AC6" s="6"/>
      <c r="AD6" s="6"/>
      <c r="AE6" s="6"/>
    </row>
    <row r="7" spans="1:31" ht="15.75">
      <c r="A7" s="21" t="s">
        <v>148</v>
      </c>
      <c r="B7" s="46">
        <v>1.2955033307959105E-05</v>
      </c>
      <c r="C7" s="17">
        <v>2879.3845875077277</v>
      </c>
      <c r="D7" s="46">
        <v>92567549750.12987</v>
      </c>
      <c r="E7" s="46">
        <v>58543748096.59137</v>
      </c>
      <c r="F7" s="44">
        <v>0.0037402766813585736</v>
      </c>
      <c r="G7" s="47">
        <v>97095058089.8896</v>
      </c>
      <c r="H7" s="48">
        <v>1.2297425391876793E-05</v>
      </c>
      <c r="I7" s="47">
        <v>97642253223.88818</v>
      </c>
      <c r="J7" s="47">
        <v>59644747384.68084</v>
      </c>
      <c r="K7" s="17">
        <v>2911.754019932756</v>
      </c>
      <c r="L7" s="43">
        <v>5.790839852208421</v>
      </c>
      <c r="M7" s="45">
        <v>7.8003845612866645</v>
      </c>
      <c r="N7" s="45">
        <v>4.525939662934712</v>
      </c>
      <c r="O7" s="44">
        <v>0.24624404046716322</v>
      </c>
      <c r="P7" s="45">
        <v>1.7234839927646617</v>
      </c>
      <c r="R7" s="6"/>
      <c r="S7" s="6"/>
      <c r="T7" s="6"/>
      <c r="U7" s="6"/>
      <c r="V7" s="6"/>
      <c r="W7" s="6"/>
      <c r="X7" s="6"/>
      <c r="Y7" s="6"/>
      <c r="Z7" s="6"/>
      <c r="AA7" s="6"/>
      <c r="AB7" s="6"/>
      <c r="AC7" s="6"/>
      <c r="AD7" s="6"/>
      <c r="AE7" s="6"/>
    </row>
    <row r="8" spans="1:31" ht="15.75">
      <c r="A8" s="21" t="s">
        <v>278</v>
      </c>
      <c r="B8" s="46">
        <v>3.28194177134964E-05</v>
      </c>
      <c r="C8" s="17">
        <v>2548.513171974119</v>
      </c>
      <c r="D8" s="46">
        <v>52868733110.936966</v>
      </c>
      <c r="E8" s="46">
        <v>25125527429.340317</v>
      </c>
      <c r="F8" s="44">
        <v>0.006471763281497636</v>
      </c>
      <c r="G8" s="47">
        <v>57069479385.75678</v>
      </c>
      <c r="H8" s="48">
        <v>3.0026795279478113E-05</v>
      </c>
      <c r="I8" s="47">
        <v>58400151734.54779</v>
      </c>
      <c r="J8" s="47">
        <v>29622472347.391582</v>
      </c>
      <c r="K8" s="17">
        <v>2598.1530619623863</v>
      </c>
      <c r="L8" s="43">
        <v>4.741050938448062</v>
      </c>
      <c r="M8" s="45">
        <v>6.138352729437164</v>
      </c>
      <c r="N8" s="45">
        <v>3.376589651189803</v>
      </c>
      <c r="O8" s="44">
        <v>0.283062818931655</v>
      </c>
      <c r="P8" s="45">
        <v>1.8179149270549364</v>
      </c>
      <c r="R8" s="6"/>
      <c r="S8" s="6"/>
      <c r="T8" s="6"/>
      <c r="U8" s="6"/>
      <c r="V8" s="6"/>
      <c r="W8" s="6"/>
      <c r="X8" s="6"/>
      <c r="Y8" s="6"/>
      <c r="Z8" s="6"/>
      <c r="AA8" s="6"/>
      <c r="AB8" s="6"/>
      <c r="AC8" s="6"/>
      <c r="AD8" s="6"/>
      <c r="AE8" s="6"/>
    </row>
    <row r="9" spans="1:31" ht="15.75">
      <c r="A9" s="21" t="s">
        <v>279</v>
      </c>
      <c r="B9" s="46">
        <v>3.28194177134964E-05</v>
      </c>
      <c r="C9" s="17">
        <v>2548.513171974119</v>
      </c>
      <c r="D9" s="46">
        <v>52883360845.421776</v>
      </c>
      <c r="E9" s="46">
        <v>25125527429.340317</v>
      </c>
      <c r="F9" s="44">
        <v>0.0064700285686606525</v>
      </c>
      <c r="G9" s="47">
        <v>57084117440.968094</v>
      </c>
      <c r="H9" s="48">
        <v>3.003329799495773E-05</v>
      </c>
      <c r="I9" s="47">
        <v>58393594728.85731</v>
      </c>
      <c r="J9" s="47">
        <v>29622482410.959286</v>
      </c>
      <c r="K9" s="17">
        <v>2598.139713600434</v>
      </c>
      <c r="L9" s="43">
        <v>4.740796953265228</v>
      </c>
      <c r="M9" s="45">
        <v>6.138163344875247</v>
      </c>
      <c r="N9" s="45">
        <v>3.376598898627273</v>
      </c>
      <c r="O9" s="44">
        <v>0.28304191942525125</v>
      </c>
      <c r="P9" s="45">
        <v>1.8178538609873574</v>
      </c>
      <c r="R9" s="6"/>
      <c r="S9" s="6"/>
      <c r="T9" s="6"/>
      <c r="U9" s="6"/>
      <c r="V9" s="6"/>
      <c r="W9" s="6"/>
      <c r="X9" s="6"/>
      <c r="Y9" s="6"/>
      <c r="Z9" s="6"/>
      <c r="AA9" s="6"/>
      <c r="AB9" s="6"/>
      <c r="AC9" s="6"/>
      <c r="AD9" s="6"/>
      <c r="AE9" s="6"/>
    </row>
    <row r="10" spans="1:31" ht="15.75">
      <c r="A10" s="21" t="s">
        <v>158</v>
      </c>
      <c r="B10" s="46">
        <v>1.7129432929412593E-05</v>
      </c>
      <c r="C10" s="17">
        <v>2720.4353141677616</v>
      </c>
      <c r="D10" s="46">
        <v>76732456484.3574</v>
      </c>
      <c r="E10" s="46">
        <v>32677277608.952988</v>
      </c>
      <c r="F10" s="44">
        <v>0.004502686394691646</v>
      </c>
      <c r="G10" s="47">
        <v>80944985272.81268</v>
      </c>
      <c r="H10" s="48">
        <v>1.6127936632176396E-05</v>
      </c>
      <c r="I10" s="47">
        <v>81742683079.26472</v>
      </c>
      <c r="J10" s="47">
        <v>36354378236.53651</v>
      </c>
      <c r="K10" s="17">
        <v>2757.265723555805</v>
      </c>
      <c r="L10" s="43">
        <v>5.444840138709307</v>
      </c>
      <c r="M10" s="45">
        <v>6.872132257907993</v>
      </c>
      <c r="N10" s="45">
        <v>3.6311070248010755</v>
      </c>
      <c r="O10" s="44">
        <v>0.30633888327503705</v>
      </c>
      <c r="P10" s="45">
        <v>1.8925722130937388</v>
      </c>
      <c r="R10" s="6"/>
      <c r="S10" s="6"/>
      <c r="T10" s="6"/>
      <c r="U10" s="6"/>
      <c r="V10" s="6"/>
      <c r="W10" s="6"/>
      <c r="X10" s="6"/>
      <c r="Y10" s="6"/>
      <c r="Z10" s="6"/>
      <c r="AA10" s="6"/>
      <c r="AB10" s="6"/>
      <c r="AC10" s="6"/>
      <c r="AD10" s="6"/>
      <c r="AE10" s="6"/>
    </row>
    <row r="11" spans="1:31" ht="15.75">
      <c r="A11" s="21" t="s">
        <v>275</v>
      </c>
      <c r="B11" s="46">
        <v>2.4110756434257223E-05</v>
      </c>
      <c r="C11" s="17">
        <v>2503.597617699417</v>
      </c>
      <c r="D11" s="46">
        <v>53247953738.34439</v>
      </c>
      <c r="E11" s="46">
        <v>25664965695.49704</v>
      </c>
      <c r="F11" s="44">
        <v>0.006427089917320358</v>
      </c>
      <c r="G11" s="47">
        <v>57448965832.445724</v>
      </c>
      <c r="H11" s="48">
        <v>2.2136140862309575E-05</v>
      </c>
      <c r="I11" s="47">
        <v>58193646981.55346</v>
      </c>
      <c r="J11" s="47">
        <v>26497689077.61671</v>
      </c>
      <c r="K11" s="17">
        <v>2552.0249539530114</v>
      </c>
      <c r="L11" s="43">
        <v>4.775241379704809</v>
      </c>
      <c r="M11" s="45">
        <v>6.053671409882306</v>
      </c>
      <c r="N11" s="45">
        <v>3.222267133290784</v>
      </c>
      <c r="O11" s="44">
        <v>0.3023333776840352</v>
      </c>
      <c r="P11" s="45">
        <v>1.878699424805265</v>
      </c>
      <c r="R11" s="6"/>
      <c r="S11" s="6"/>
      <c r="T11" s="6"/>
      <c r="U11" s="6"/>
      <c r="V11" s="6"/>
      <c r="W11" s="6"/>
      <c r="X11" s="6"/>
      <c r="Y11" s="6"/>
      <c r="Z11" s="6"/>
      <c r="AA11" s="6"/>
      <c r="AB11" s="6"/>
      <c r="AC11" s="6"/>
      <c r="AD11" s="6"/>
      <c r="AE11" s="6"/>
    </row>
    <row r="12" spans="1:31" ht="15.75">
      <c r="A12" s="21" t="s">
        <v>281</v>
      </c>
      <c r="B12" s="46">
        <v>2.4110756434257223E-05</v>
      </c>
      <c r="C12" s="17">
        <v>2501.637854397891</v>
      </c>
      <c r="D12" s="46">
        <v>61194046320.22425</v>
      </c>
      <c r="E12" s="46">
        <v>29494900541.994884</v>
      </c>
      <c r="F12" s="44">
        <v>0.005615012200230221</v>
      </c>
      <c r="G12" s="47">
        <v>65399904269.51315</v>
      </c>
      <c r="H12" s="48">
        <v>2.237508180740405E-05</v>
      </c>
      <c r="I12" s="47">
        <v>66256800001.68658</v>
      </c>
      <c r="J12" s="47">
        <v>30329959153.79727</v>
      </c>
      <c r="K12" s="17">
        <v>2543.8961239248993</v>
      </c>
      <c r="L12" s="43">
        <v>5.103469712239722</v>
      </c>
      <c r="M12" s="45">
        <v>6.476284213034223</v>
      </c>
      <c r="N12" s="45">
        <v>3.452917690618482</v>
      </c>
      <c r="O12" s="44">
        <v>0.30141917324909145</v>
      </c>
      <c r="P12" s="45">
        <v>1.8755976230276716</v>
      </c>
      <c r="R12" s="6"/>
      <c r="S12" s="6"/>
      <c r="T12" s="6"/>
      <c r="U12" s="6"/>
      <c r="V12" s="6"/>
      <c r="W12" s="6"/>
      <c r="X12" s="6"/>
      <c r="Y12" s="6"/>
      <c r="Z12" s="6"/>
      <c r="AA12" s="6"/>
      <c r="AB12" s="6"/>
      <c r="AC12" s="6"/>
      <c r="AD12" s="6"/>
      <c r="AE12" s="6"/>
    </row>
    <row r="13" spans="1:31" ht="15.75">
      <c r="A13" s="21" t="s">
        <v>159</v>
      </c>
      <c r="B13" s="46">
        <v>2.9004880128375107E-05</v>
      </c>
      <c r="C13" s="17">
        <v>4219.565065587949</v>
      </c>
      <c r="D13" s="46">
        <v>148777871555.2678</v>
      </c>
      <c r="E13" s="46">
        <v>83886435835.0043</v>
      </c>
      <c r="F13" s="44">
        <v>0.002339953406253279</v>
      </c>
      <c r="G13" s="47">
        <v>153941192900.54865</v>
      </c>
      <c r="H13" s="48">
        <v>2.790555766878643E-05</v>
      </c>
      <c r="I13" s="47">
        <v>159792565246.93253</v>
      </c>
      <c r="J13" s="47">
        <v>85357687082.2037</v>
      </c>
      <c r="K13" s="17">
        <v>4249.220451144393</v>
      </c>
      <c r="L13" s="43">
        <v>6.132303670337711</v>
      </c>
      <c r="M13" s="45">
        <v>8.024272135097474</v>
      </c>
      <c r="N13" s="45">
        <v>4.4819467025666775</v>
      </c>
      <c r="O13" s="44">
        <v>0.2732804876094781</v>
      </c>
      <c r="P13" s="45">
        <v>1.7903542071355316</v>
      </c>
      <c r="Q13" s="6"/>
      <c r="R13" s="6"/>
      <c r="S13" s="6"/>
      <c r="T13" s="6"/>
      <c r="U13" s="6"/>
      <c r="V13" s="6"/>
      <c r="W13" s="6"/>
      <c r="X13" s="6"/>
      <c r="Y13" s="6"/>
      <c r="Z13" s="6"/>
      <c r="AA13" s="6"/>
      <c r="AB13" s="6"/>
      <c r="AC13" s="6"/>
      <c r="AD13" s="6"/>
      <c r="AE13" s="6"/>
    </row>
    <row r="14" spans="1:31" ht="15.75">
      <c r="A14" s="21" t="s">
        <v>331</v>
      </c>
      <c r="B14" s="46">
        <v>2.8285156055710713E-05</v>
      </c>
      <c r="C14" s="17">
        <v>3508.348230390053</v>
      </c>
      <c r="D14" s="46">
        <v>146963012572.06735</v>
      </c>
      <c r="E14" s="46">
        <v>96497238192.9527</v>
      </c>
      <c r="F14" s="44">
        <v>0.0023767450986672324</v>
      </c>
      <c r="G14" s="47">
        <v>151083889539.99496</v>
      </c>
      <c r="H14" s="48">
        <v>2.7380447748162726E-05</v>
      </c>
      <c r="I14" s="47">
        <v>157350519746.05997</v>
      </c>
      <c r="J14" s="47">
        <v>97654069291.792</v>
      </c>
      <c r="K14" s="17">
        <v>3533.3932828166526</v>
      </c>
      <c r="L14" s="43">
        <v>6.673260851473674</v>
      </c>
      <c r="M14" s="45">
        <v>9.02121817439793</v>
      </c>
      <c r="N14" s="45">
        <v>5.257135647737015</v>
      </c>
      <c r="O14" s="44">
        <v>0.24288282122882043</v>
      </c>
      <c r="P14" s="45">
        <v>1.71599494075851</v>
      </c>
      <c r="Q14" s="6"/>
      <c r="R14" s="6"/>
      <c r="S14" s="6"/>
      <c r="T14" s="6"/>
      <c r="U14" s="6"/>
      <c r="V14" s="6"/>
      <c r="W14" s="6"/>
      <c r="X14" s="6"/>
      <c r="Y14" s="6"/>
      <c r="Z14" s="6"/>
      <c r="AA14" s="6"/>
      <c r="AB14" s="6"/>
      <c r="AC14" s="6"/>
      <c r="AD14" s="6"/>
      <c r="AE14" s="6"/>
    </row>
    <row r="15" spans="1:31" ht="15.75">
      <c r="A15" s="21" t="s">
        <v>164</v>
      </c>
      <c r="B15" s="46">
        <v>3.1379969568167613E-05</v>
      </c>
      <c r="C15" s="17">
        <v>3471.938895553454</v>
      </c>
      <c r="D15" s="46">
        <v>145410468169.04013</v>
      </c>
      <c r="E15" s="46">
        <v>84428439451.07225</v>
      </c>
      <c r="F15" s="44">
        <v>0.0024001217511935694</v>
      </c>
      <c r="G15" s="47">
        <v>149740174699.39484</v>
      </c>
      <c r="H15" s="48">
        <v>3.0207768998589108E-05</v>
      </c>
      <c r="I15" s="47">
        <v>156937902250.4868</v>
      </c>
      <c r="J15" s="47">
        <v>85797391349.23094</v>
      </c>
      <c r="K15" s="17">
        <v>3496.9681003766264</v>
      </c>
      <c r="L15" s="43">
        <v>6.699125074662708</v>
      </c>
      <c r="M15" s="45">
        <v>8.808594393941508</v>
      </c>
      <c r="N15" s="45">
        <v>4.953260928242358</v>
      </c>
      <c r="O15" s="44">
        <v>0.26878634388895134</v>
      </c>
      <c r="P15" s="45">
        <v>1.7783424942782486</v>
      </c>
      <c r="Q15" s="6"/>
      <c r="R15" s="6"/>
      <c r="S15" s="6"/>
      <c r="T15" s="6"/>
      <c r="U15" s="6"/>
      <c r="V15" s="6"/>
      <c r="W15" s="6"/>
      <c r="X15" s="6"/>
      <c r="Y15" s="5"/>
      <c r="Z15" s="6"/>
      <c r="AA15" s="6"/>
      <c r="AB15" s="6"/>
      <c r="AC15" s="6"/>
      <c r="AD15" s="6"/>
      <c r="AE15" s="6"/>
    </row>
    <row r="16" spans="1:31" ht="15.75">
      <c r="A16" s="21" t="s">
        <v>162</v>
      </c>
      <c r="B16" s="46">
        <v>4.41190856543274E-05</v>
      </c>
      <c r="C16" s="17">
        <v>3104.3779317991684</v>
      </c>
      <c r="D16" s="46">
        <v>103752408312.84326</v>
      </c>
      <c r="E16" s="46">
        <v>67277018324.931526</v>
      </c>
      <c r="F16" s="44">
        <v>0.0033458726185815256</v>
      </c>
      <c r="G16" s="47">
        <v>108179481271.02446</v>
      </c>
      <c r="H16" s="48">
        <v>4.1757098768163495E-05</v>
      </c>
      <c r="I16" s="47">
        <v>115597592233.9725</v>
      </c>
      <c r="J16" s="47">
        <v>68958048926.1529</v>
      </c>
      <c r="K16" s="17">
        <v>3135.590562795253</v>
      </c>
      <c r="L16" s="43">
        <v>6.071761720504204</v>
      </c>
      <c r="M16" s="45">
        <v>8.135663287557321</v>
      </c>
      <c r="N16" s="45">
        <v>4.68956768300084</v>
      </c>
      <c r="O16" s="44">
        <v>0.2512041660218761</v>
      </c>
      <c r="P16" s="45">
        <v>1.7348429189002204</v>
      </c>
      <c r="Q16" s="6"/>
      <c r="R16" s="6"/>
      <c r="S16" s="6"/>
      <c r="T16" s="6"/>
      <c r="U16" s="6"/>
      <c r="V16" s="6"/>
      <c r="W16" s="6"/>
      <c r="X16" s="6"/>
      <c r="Y16" s="6"/>
      <c r="Z16" s="6"/>
      <c r="AA16" s="6"/>
      <c r="AB16" s="6"/>
      <c r="AC16" s="6"/>
      <c r="AD16" s="6"/>
      <c r="AE16" s="6"/>
    </row>
    <row r="17" spans="1:31" ht="15.75">
      <c r="A17" s="21" t="s">
        <v>168</v>
      </c>
      <c r="B17" s="46">
        <v>3.634606566955194E-05</v>
      </c>
      <c r="C17" s="17">
        <v>4267.241733493793</v>
      </c>
      <c r="D17" s="46">
        <v>115483266243.20319</v>
      </c>
      <c r="E17" s="46">
        <v>44364654530.222824</v>
      </c>
      <c r="F17" s="44">
        <v>0.003002257724706925</v>
      </c>
      <c r="G17" s="47">
        <v>120617321282.35437</v>
      </c>
      <c r="H17" s="48">
        <v>3.462565308331479E-05</v>
      </c>
      <c r="I17" s="47">
        <v>127050437936.76157</v>
      </c>
      <c r="J17" s="47">
        <v>46163059330.442924</v>
      </c>
      <c r="K17" s="17">
        <v>4305.733448762553</v>
      </c>
      <c r="L17" s="43">
        <v>5.432059430397007</v>
      </c>
      <c r="M17" s="45">
        <v>6.618333333037414</v>
      </c>
      <c r="N17" s="45">
        <v>3.2743396034730137</v>
      </c>
      <c r="O17" s="44">
        <v>0.33795399043865054</v>
      </c>
      <c r="P17" s="45">
        <v>2.0212727250458404</v>
      </c>
      <c r="Q17" s="6"/>
      <c r="R17" s="6"/>
      <c r="S17" s="6"/>
      <c r="T17" s="6"/>
      <c r="U17" s="6"/>
      <c r="V17" s="6"/>
      <c r="W17" s="6"/>
      <c r="X17" s="6"/>
      <c r="Y17" s="6"/>
      <c r="Z17" s="6"/>
      <c r="AA17" s="6"/>
      <c r="AB17" s="6"/>
      <c r="AC17" s="6"/>
      <c r="AD17" s="6"/>
      <c r="AE17" s="6"/>
    </row>
    <row r="18" spans="1:31" ht="15.75">
      <c r="A18" s="21" t="s">
        <v>161</v>
      </c>
      <c r="B18" s="46">
        <v>3.634606566955194E-05</v>
      </c>
      <c r="C18" s="17">
        <v>3099.5692227832187</v>
      </c>
      <c r="D18" s="46">
        <v>85580297278.44835</v>
      </c>
      <c r="E18" s="46">
        <v>61813232526.3986</v>
      </c>
      <c r="F18" s="44">
        <v>0.003985583372449781</v>
      </c>
      <c r="G18" s="47">
        <v>92445237469.10849</v>
      </c>
      <c r="H18" s="48">
        <v>3.3220607521990116E-05</v>
      </c>
      <c r="I18" s="47">
        <v>96159256473.58868</v>
      </c>
      <c r="J18" s="47">
        <v>63779086170.83939</v>
      </c>
      <c r="K18" s="17">
        <v>3136.703754029609</v>
      </c>
      <c r="L18" s="43">
        <v>5.536799492865054</v>
      </c>
      <c r="M18" s="45">
        <v>7.600462028187549</v>
      </c>
      <c r="N18" s="45">
        <v>4.50923006879196</v>
      </c>
      <c r="O18" s="44">
        <v>0.22841229989523887</v>
      </c>
      <c r="P18" s="45">
        <v>1.685534317884947</v>
      </c>
      <c r="Q18" s="6"/>
      <c r="R18" s="6"/>
      <c r="S18" s="6"/>
      <c r="T18" s="6"/>
      <c r="U18" s="6"/>
      <c r="V18" s="6"/>
      <c r="W18" s="6"/>
      <c r="X18" s="6"/>
      <c r="Y18" s="6"/>
      <c r="Z18" s="6"/>
      <c r="AA18" s="6"/>
      <c r="AB18" s="6"/>
      <c r="AC18" s="6"/>
      <c r="AD18" s="6"/>
      <c r="AE18" s="6"/>
    </row>
    <row r="19" spans="1:31" ht="15.75">
      <c r="A19" s="21" t="s">
        <v>330</v>
      </c>
      <c r="B19" s="46">
        <v>4.5486561392389753E-05</v>
      </c>
      <c r="C19" s="17">
        <v>3852.423657286497</v>
      </c>
      <c r="D19" s="46">
        <v>74394302175.4316</v>
      </c>
      <c r="E19" s="46">
        <v>38647406459.75948</v>
      </c>
      <c r="F19" s="44">
        <v>0.004561690658595636</v>
      </c>
      <c r="G19" s="47">
        <v>81240675891.14394</v>
      </c>
      <c r="H19" s="48">
        <v>4.09345617926215E-05</v>
      </c>
      <c r="I19" s="47">
        <v>86066782691.57762</v>
      </c>
      <c r="J19" s="47">
        <v>40612000126.383</v>
      </c>
      <c r="K19" s="17">
        <v>3905.2644178470805</v>
      </c>
      <c r="L19" s="43">
        <v>4.694534792843638</v>
      </c>
      <c r="M19" s="45">
        <v>5.992026764463353</v>
      </c>
      <c r="N19" s="45">
        <v>3.224793926535349</v>
      </c>
      <c r="O19" s="44">
        <v>0.29613292236312266</v>
      </c>
      <c r="P19" s="45">
        <v>1.8581115261839571</v>
      </c>
      <c r="Q19" s="6"/>
      <c r="R19" s="6"/>
      <c r="S19" s="6"/>
      <c r="T19" s="6"/>
      <c r="U19" s="6"/>
      <c r="V19" s="6"/>
      <c r="W19" s="6"/>
      <c r="X19" s="6"/>
      <c r="Y19" s="6"/>
      <c r="Z19" s="6"/>
      <c r="AA19" s="6"/>
      <c r="AB19" s="6"/>
      <c r="AC19" s="6"/>
      <c r="AD19" s="6"/>
      <c r="AE19" s="6"/>
    </row>
    <row r="20" spans="1:18" ht="15.75">
      <c r="A20" s="101" t="s">
        <v>551</v>
      </c>
      <c r="B20" s="46">
        <v>3.656198289135125E-05</v>
      </c>
      <c r="C20" s="17">
        <v>3332.0440982593495</v>
      </c>
      <c r="D20" s="46">
        <v>137269942291.18765</v>
      </c>
      <c r="E20" s="46">
        <v>77120820603.82004</v>
      </c>
      <c r="F20" s="44">
        <v>0.0025171790030063972</v>
      </c>
      <c r="G20" s="47">
        <v>144182630839.50073</v>
      </c>
      <c r="H20" s="48">
        <v>3.454068526178708E-05</v>
      </c>
      <c r="I20" s="47">
        <v>150205395646.2067</v>
      </c>
      <c r="J20" s="47">
        <v>79106646367.75424</v>
      </c>
      <c r="K20" s="17">
        <v>3357.2377947585596</v>
      </c>
      <c r="L20" s="43">
        <v>6.6888539757232754</v>
      </c>
      <c r="M20" s="45">
        <v>8.726862069330894</v>
      </c>
      <c r="N20" s="45">
        <v>4.854175063945768</v>
      </c>
      <c r="O20" s="44">
        <v>0.2759961208185219</v>
      </c>
      <c r="P20" s="45">
        <v>1.79780538492511</v>
      </c>
      <c r="Q20" s="6"/>
      <c r="R20" s="6"/>
    </row>
    <row r="21" spans="1:31" ht="15.75">
      <c r="A21" s="21" t="s">
        <v>282</v>
      </c>
      <c r="B21" s="46">
        <v>4.10242721418705E-05</v>
      </c>
      <c r="C21" s="17">
        <v>3156.9233468769985</v>
      </c>
      <c r="D21" s="46">
        <v>99711414274.96008</v>
      </c>
      <c r="E21" s="46">
        <v>63395631980.45473</v>
      </c>
      <c r="F21" s="44">
        <v>0.0034737032052466156</v>
      </c>
      <c r="G21" s="47">
        <v>104447816523.79451</v>
      </c>
      <c r="H21" s="48">
        <v>3.915119910475713E-05</v>
      </c>
      <c r="I21" s="47">
        <v>110174003466.06505</v>
      </c>
      <c r="J21" s="47">
        <v>65390918152.53278</v>
      </c>
      <c r="K21" s="17">
        <v>3189.879065195511</v>
      </c>
      <c r="L21" s="43">
        <v>5.876956231015621</v>
      </c>
      <c r="M21" s="45">
        <v>7.865829770014774</v>
      </c>
      <c r="N21" s="45">
        <v>4.527637084858173</v>
      </c>
      <c r="O21" s="44">
        <v>0.2522526541685504</v>
      </c>
      <c r="P21" s="45">
        <v>1.7372924601931006</v>
      </c>
      <c r="Q21" s="6"/>
      <c r="R21" s="6"/>
      <c r="S21" s="6"/>
      <c r="T21" s="6"/>
      <c r="U21" s="6"/>
      <c r="V21" s="6"/>
      <c r="W21" s="6"/>
      <c r="X21" s="6"/>
      <c r="Y21" s="6"/>
      <c r="Z21" s="6"/>
      <c r="AA21" s="6"/>
      <c r="AB21" s="6"/>
      <c r="AC21" s="6"/>
      <c r="AD21" s="6"/>
      <c r="AE21" s="6"/>
    </row>
    <row r="22" spans="1:31" ht="15.75">
      <c r="A22" s="21" t="s">
        <v>332</v>
      </c>
      <c r="B22" s="46">
        <v>4.10242721418705E-05</v>
      </c>
      <c r="C22" s="17">
        <v>3532.7015543234957</v>
      </c>
      <c r="D22" s="46">
        <v>97921708293.56763</v>
      </c>
      <c r="E22" s="46">
        <v>50220427987.904396</v>
      </c>
      <c r="F22" s="44">
        <v>0.003535934322853226</v>
      </c>
      <c r="G22" s="47">
        <v>102657514184.65671</v>
      </c>
      <c r="H22" s="48">
        <v>3.8503189142422374E-05</v>
      </c>
      <c r="I22" s="47">
        <v>110205083483.20058</v>
      </c>
      <c r="J22" s="47">
        <v>52218034722.83602</v>
      </c>
      <c r="K22" s="17">
        <v>3570.2419316345026</v>
      </c>
      <c r="L22" s="43">
        <v>5.555868918899566</v>
      </c>
      <c r="M22" s="45">
        <v>7.097104470366725</v>
      </c>
      <c r="N22" s="45">
        <v>3.824383520840823</v>
      </c>
      <c r="O22" s="44">
        <v>0.2954016666837797</v>
      </c>
      <c r="P22" s="45">
        <v>1.8557512424398186</v>
      </c>
      <c r="R22" s="6"/>
      <c r="S22" s="6"/>
      <c r="T22" s="6"/>
      <c r="U22" s="6"/>
      <c r="V22" s="6"/>
      <c r="W22" s="6"/>
      <c r="X22" s="6"/>
      <c r="Y22" s="6"/>
      <c r="Z22" s="6"/>
      <c r="AA22" s="6"/>
      <c r="AB22" s="6"/>
      <c r="AC22" s="6"/>
      <c r="AD22" s="6"/>
      <c r="AE22" s="6"/>
    </row>
    <row r="23" spans="1:31" ht="15.75">
      <c r="A23" s="21" t="s">
        <v>160</v>
      </c>
      <c r="B23" s="46">
        <v>3.353914178616079E-05</v>
      </c>
      <c r="C23" s="17">
        <v>3252.730290593889</v>
      </c>
      <c r="D23" s="46">
        <v>132492659748.16731</v>
      </c>
      <c r="E23" s="46">
        <v>78864678421.52817</v>
      </c>
      <c r="F23" s="44">
        <v>0.00265712814544913</v>
      </c>
      <c r="G23" s="47">
        <v>134188582480.02643</v>
      </c>
      <c r="H23" s="48">
        <v>3.2839922711498864E-05</v>
      </c>
      <c r="I23" s="47">
        <v>140078855079.78604</v>
      </c>
      <c r="J23" s="47">
        <v>80888333706.60753</v>
      </c>
      <c r="K23" s="17">
        <v>3278.693471781458</v>
      </c>
      <c r="L23" s="43">
        <v>6.536358797786127</v>
      </c>
      <c r="M23" s="45">
        <v>8.695891313702786</v>
      </c>
      <c r="N23" s="45">
        <v>4.966981432897813</v>
      </c>
      <c r="O23" s="44">
        <v>0.2578797205744229</v>
      </c>
      <c r="P23" s="45">
        <v>1.750739645634123</v>
      </c>
      <c r="R23" s="6"/>
      <c r="S23" s="6"/>
      <c r="T23" s="6"/>
      <c r="U23" s="6"/>
      <c r="V23" s="6"/>
      <c r="W23" s="6"/>
      <c r="X23" s="6"/>
      <c r="Y23" s="6"/>
      <c r="Z23" s="6"/>
      <c r="AA23" s="6"/>
      <c r="AB23" s="6"/>
      <c r="AC23" s="6"/>
      <c r="AD23" s="6"/>
      <c r="AE23" s="6"/>
    </row>
    <row r="24" spans="1:16" ht="15.75">
      <c r="A24" s="101" t="s">
        <v>489</v>
      </c>
      <c r="B24" s="46">
        <v>3.353914178616079E-05</v>
      </c>
      <c r="C24" s="17">
        <v>3476.174578986176</v>
      </c>
      <c r="D24" s="46">
        <v>104253849670.32945</v>
      </c>
      <c r="E24" s="46">
        <v>51681395563.069305</v>
      </c>
      <c r="F24" s="44">
        <v>0.003346550213443168</v>
      </c>
      <c r="G24" s="47">
        <v>107638956718.39462</v>
      </c>
      <c r="H24" s="48">
        <v>3.2197469603196624E-05</v>
      </c>
      <c r="I24" s="47">
        <v>111521374768.39107</v>
      </c>
      <c r="J24" s="47">
        <v>53693319175.77109</v>
      </c>
      <c r="K24" s="17">
        <v>3511.1324889402367</v>
      </c>
      <c r="L24" s="43">
        <v>5.635798388536942</v>
      </c>
      <c r="M24" s="45">
        <v>7.221631905062727</v>
      </c>
      <c r="N24" s="45">
        <v>3.9105380604193387</v>
      </c>
      <c r="O24" s="44">
        <v>0.2925603742672108</v>
      </c>
      <c r="P24" s="45">
        <v>1.8467105532501402</v>
      </c>
    </row>
    <row r="25" spans="1:16" ht="15.75">
      <c r="A25" s="101" t="s">
        <v>552</v>
      </c>
      <c r="B25" s="46">
        <v>3.188377641903269E-05</v>
      </c>
      <c r="C25" s="17">
        <v>3340.410839945712</v>
      </c>
      <c r="D25" s="46">
        <v>95975339398.08746</v>
      </c>
      <c r="E25" s="46">
        <v>67472882350.99688</v>
      </c>
      <c r="F25" s="44">
        <v>0.0036004942279519218</v>
      </c>
      <c r="G25" s="47">
        <v>101019519338.21803</v>
      </c>
      <c r="H25" s="48">
        <v>2.9922087371111332E-05</v>
      </c>
      <c r="I25" s="47">
        <v>105252226990.03934</v>
      </c>
      <c r="J25" s="47">
        <v>69462800182.14166</v>
      </c>
      <c r="K25" s="17">
        <v>3376.557107460842</v>
      </c>
      <c r="L25" s="43">
        <v>5.5831410161635855</v>
      </c>
      <c r="M25" s="45">
        <v>7.655122632436482</v>
      </c>
      <c r="N25" s="45">
        <v>4.535645398777867</v>
      </c>
      <c r="O25" s="44">
        <v>0.22951990911376238</v>
      </c>
      <c r="P25" s="45">
        <v>1.6877692057891387</v>
      </c>
    </row>
    <row r="26" spans="1:31" ht="15.75">
      <c r="A26" s="21" t="s">
        <v>170</v>
      </c>
      <c r="B26" s="46">
        <v>3.814537585121292E-05</v>
      </c>
      <c r="C26" s="17">
        <v>2912.8204601604198</v>
      </c>
      <c r="D26" s="46">
        <v>81170946752.87637</v>
      </c>
      <c r="E26" s="46">
        <v>54484608094.39647</v>
      </c>
      <c r="F26" s="44">
        <v>0.004261566296878947</v>
      </c>
      <c r="G26" s="47">
        <v>85384928178.7801</v>
      </c>
      <c r="H26" s="48">
        <v>3.585683468982597E-05</v>
      </c>
      <c r="I26" s="47">
        <v>88736743033.37062</v>
      </c>
      <c r="J26" s="47">
        <v>55652988663.65095</v>
      </c>
      <c r="K26" s="17">
        <v>2950.1392296755816</v>
      </c>
      <c r="L26" s="43">
        <v>5.4844172215565585</v>
      </c>
      <c r="M26" s="45">
        <v>7.431792403029079</v>
      </c>
      <c r="N26" s="45">
        <v>4.343331618263902</v>
      </c>
      <c r="O26" s="44">
        <v>0.24063677242937506</v>
      </c>
      <c r="P26" s="45">
        <v>1.7110810447394948</v>
      </c>
      <c r="R26" s="6"/>
      <c r="S26" s="6"/>
      <c r="T26" s="6"/>
      <c r="U26" s="6"/>
      <c r="V26" s="6"/>
      <c r="W26" s="6"/>
      <c r="X26" s="6"/>
      <c r="Y26" s="6"/>
      <c r="Z26" s="6"/>
      <c r="AA26" s="6"/>
      <c r="AB26" s="6"/>
      <c r="AC26" s="6"/>
      <c r="AD26" s="6"/>
      <c r="AE26" s="6"/>
    </row>
    <row r="27" spans="1:31" ht="15.75">
      <c r="A27" s="21" t="s">
        <v>166</v>
      </c>
      <c r="B27" s="46">
        <v>3.814537585121292E-05</v>
      </c>
      <c r="C27" s="17">
        <v>3197.517672689397</v>
      </c>
      <c r="D27" s="46">
        <v>76100018883.53766</v>
      </c>
      <c r="E27" s="46">
        <v>45213224906.67235</v>
      </c>
      <c r="F27" s="44">
        <v>0.004539283180755218</v>
      </c>
      <c r="G27" s="47">
        <v>80312327371.86711</v>
      </c>
      <c r="H27" s="48">
        <v>3.570836032506079E-05</v>
      </c>
      <c r="I27" s="47">
        <v>83488468388.28766</v>
      </c>
      <c r="J27" s="47">
        <v>46246400793.65932</v>
      </c>
      <c r="K27" s="17">
        <v>3241.159665953684</v>
      </c>
      <c r="L27" s="43">
        <v>5.075315375306479</v>
      </c>
      <c r="M27" s="45">
        <v>6.6920443429749</v>
      </c>
      <c r="N27" s="45">
        <v>3.777363299596693</v>
      </c>
      <c r="O27" s="44">
        <v>0.26620545661676087</v>
      </c>
      <c r="P27" s="45">
        <v>1.771617875275435</v>
      </c>
      <c r="R27" s="6"/>
      <c r="S27" s="6"/>
      <c r="T27" s="6"/>
      <c r="U27" s="6"/>
      <c r="V27" s="6"/>
      <c r="W27" s="6"/>
      <c r="X27" s="6"/>
      <c r="Y27" s="6"/>
      <c r="Z27" s="6"/>
      <c r="AA27" s="6"/>
      <c r="AB27" s="6"/>
      <c r="AC27" s="6"/>
      <c r="AD27" s="6"/>
      <c r="AE27" s="6"/>
    </row>
    <row r="28" spans="1:31" ht="15.75">
      <c r="A28" s="21" t="s">
        <v>283</v>
      </c>
      <c r="B28" s="46">
        <v>3.843326548027868E-05</v>
      </c>
      <c r="C28" s="17">
        <v>2884.038132188358</v>
      </c>
      <c r="D28" s="46">
        <v>72782337078.36711</v>
      </c>
      <c r="E28" s="46">
        <v>43242094073.505104</v>
      </c>
      <c r="F28" s="44">
        <v>0.0047414487671231745</v>
      </c>
      <c r="G28" s="47">
        <v>76993429445.26186</v>
      </c>
      <c r="H28" s="48">
        <v>3.591337480035554E-05</v>
      </c>
      <c r="I28" s="47">
        <v>79774201416.44395</v>
      </c>
      <c r="J28" s="47">
        <v>44274547501.90837</v>
      </c>
      <c r="K28" s="17">
        <v>2925.158791707468</v>
      </c>
      <c r="L28" s="43">
        <v>5.222236181095064</v>
      </c>
      <c r="M28" s="45">
        <v>6.88859819290721</v>
      </c>
      <c r="N28" s="45">
        <v>3.890472432641002</v>
      </c>
      <c r="O28" s="44">
        <v>0.2658233841815299</v>
      </c>
      <c r="P28" s="45">
        <v>1.7706328247212293</v>
      </c>
      <c r="R28" s="6"/>
      <c r="S28" s="6"/>
      <c r="T28" s="6"/>
      <c r="U28" s="6"/>
      <c r="V28" s="6"/>
      <c r="W28" s="6"/>
      <c r="X28" s="6"/>
      <c r="Y28" s="6"/>
      <c r="Z28" s="6"/>
      <c r="AA28" s="6"/>
      <c r="AB28" s="6"/>
      <c r="AC28" s="6"/>
      <c r="AD28" s="6"/>
      <c r="AE28" s="6"/>
    </row>
    <row r="29" spans="1:31" ht="15.75">
      <c r="A29" s="21" t="s">
        <v>167</v>
      </c>
      <c r="B29" s="46">
        <v>3.843326548027868E-05</v>
      </c>
      <c r="C29" s="17">
        <v>3320.661562069845</v>
      </c>
      <c r="D29" s="46">
        <v>65097057554.36249</v>
      </c>
      <c r="E29" s="46">
        <v>38676046959.62413</v>
      </c>
      <c r="F29" s="44">
        <v>0.005286922032436706</v>
      </c>
      <c r="G29" s="47">
        <v>69304875759.93864</v>
      </c>
      <c r="H29" s="48">
        <v>3.564136612319832E-05</v>
      </c>
      <c r="I29" s="47">
        <v>71757557160.63675</v>
      </c>
      <c r="J29" s="47">
        <v>39706555367.807</v>
      </c>
      <c r="K29" s="17">
        <v>3373.4687804317073</v>
      </c>
      <c r="L29" s="43">
        <v>4.61206559203829</v>
      </c>
      <c r="M29" s="45">
        <v>6.079869204833332</v>
      </c>
      <c r="N29" s="45">
        <v>3.430779123167637</v>
      </c>
      <c r="O29" s="44">
        <v>0.2664129984721673</v>
      </c>
      <c r="P29" s="45">
        <v>1.7721540753750977</v>
      </c>
      <c r="R29" s="6"/>
      <c r="S29" s="6"/>
      <c r="T29" s="6"/>
      <c r="U29" s="6"/>
      <c r="V29" s="6"/>
      <c r="W29" s="6"/>
      <c r="X29" s="6"/>
      <c r="Y29" s="6"/>
      <c r="Z29" s="6"/>
      <c r="AA29" s="6"/>
      <c r="AB29" s="6"/>
      <c r="AC29" s="6"/>
      <c r="AD29" s="6"/>
      <c r="AE29" s="6"/>
    </row>
    <row r="30" spans="1:31" ht="15.75">
      <c r="A30" s="21" t="s">
        <v>280</v>
      </c>
      <c r="B30" s="46">
        <v>3.843326548027868E-05</v>
      </c>
      <c r="C30" s="17">
        <v>2945.9979980695443</v>
      </c>
      <c r="D30" s="46">
        <v>65139249209.5164</v>
      </c>
      <c r="E30" s="46">
        <v>38701114243.727936</v>
      </c>
      <c r="F30" s="44">
        <v>0.005283584859656971</v>
      </c>
      <c r="G30" s="47">
        <v>69347087414.77342</v>
      </c>
      <c r="H30" s="48">
        <v>3.565429581661423E-05</v>
      </c>
      <c r="I30" s="47">
        <v>71739202582.06601</v>
      </c>
      <c r="J30" s="47">
        <v>39731634532.48703</v>
      </c>
      <c r="K30" s="17">
        <v>2992.817434827888</v>
      </c>
      <c r="L30" s="43">
        <v>4.895963369755325</v>
      </c>
      <c r="M30" s="45">
        <v>6.455334290677377</v>
      </c>
      <c r="N30" s="45">
        <v>3.643578270712316</v>
      </c>
      <c r="O30" s="44">
        <v>0.2662379724447874</v>
      </c>
      <c r="P30" s="45">
        <v>1.7717018301943506</v>
      </c>
      <c r="R30" s="6"/>
      <c r="S30" s="6"/>
      <c r="T30" s="6"/>
      <c r="U30" s="6"/>
      <c r="V30" s="6"/>
      <c r="W30" s="6"/>
      <c r="X30" s="6"/>
      <c r="Y30" s="6"/>
      <c r="Z30" s="6"/>
      <c r="AA30" s="6"/>
      <c r="AB30" s="6"/>
      <c r="AC30" s="6"/>
      <c r="AD30" s="6"/>
      <c r="AE30" s="6"/>
    </row>
    <row r="31" spans="1:31" ht="15.75">
      <c r="A31" s="21" t="s">
        <v>285</v>
      </c>
      <c r="B31" s="46">
        <v>3.843326548027868E-05</v>
      </c>
      <c r="C31" s="17">
        <v>2976.0098081057445</v>
      </c>
      <c r="D31" s="46">
        <v>82762034827.344</v>
      </c>
      <c r="E31" s="46">
        <v>49171321496.11107</v>
      </c>
      <c r="F31" s="44">
        <v>0.004181302033919071</v>
      </c>
      <c r="G31" s="47">
        <v>86976500262.7103</v>
      </c>
      <c r="H31" s="48">
        <v>3.615133269620558E-05</v>
      </c>
      <c r="I31" s="47">
        <v>90578943559.61116</v>
      </c>
      <c r="J31" s="47">
        <v>50205778778.40057</v>
      </c>
      <c r="K31" s="17">
        <v>3013.4185329077995</v>
      </c>
      <c r="L31" s="43">
        <v>5.482566373861311</v>
      </c>
      <c r="M31" s="45">
        <v>7.229996702208853</v>
      </c>
      <c r="N31" s="45">
        <v>4.0817568157127</v>
      </c>
      <c r="O31" s="44">
        <v>0.26608045671691477</v>
      </c>
      <c r="P31" s="45">
        <v>1.771295309504236</v>
      </c>
      <c r="R31" s="6"/>
      <c r="S31" s="6"/>
      <c r="T31" s="6"/>
      <c r="U31" s="6"/>
      <c r="V31" s="6"/>
      <c r="W31" s="6"/>
      <c r="X31" s="6"/>
      <c r="Y31" s="6"/>
      <c r="Z31" s="6"/>
      <c r="AA31" s="6"/>
      <c r="AB31" s="6"/>
      <c r="AC31" s="6"/>
      <c r="AD31" s="6"/>
      <c r="AE31" s="6"/>
    </row>
    <row r="32" spans="1:31" ht="15.75">
      <c r="A32" s="21" t="s">
        <v>169</v>
      </c>
      <c r="B32" s="46">
        <v>3.843326548027868E-05</v>
      </c>
      <c r="C32" s="17">
        <v>3080.8897894150446</v>
      </c>
      <c r="D32" s="46">
        <v>71016109269.96526</v>
      </c>
      <c r="E32" s="46">
        <v>42192726986.48895</v>
      </c>
      <c r="F32" s="44">
        <v>0.004856601791766967</v>
      </c>
      <c r="G32" s="47">
        <v>75226509576.3754</v>
      </c>
      <c r="H32" s="48">
        <v>3.584243203588668E-05</v>
      </c>
      <c r="I32" s="47">
        <v>78018187789.2124</v>
      </c>
      <c r="J32" s="47">
        <v>43224769288.56393</v>
      </c>
      <c r="K32" s="17">
        <v>3125.886579694965</v>
      </c>
      <c r="L32" s="43">
        <v>4.9958722122283445</v>
      </c>
      <c r="M32" s="45">
        <v>6.587569856678336</v>
      </c>
      <c r="N32" s="45">
        <v>3.718602303524306</v>
      </c>
      <c r="O32" s="44">
        <v>0.266166654716969</v>
      </c>
      <c r="P32" s="45">
        <v>1.7715177152541872</v>
      </c>
      <c r="R32" s="6"/>
      <c r="S32" s="6"/>
      <c r="T32" s="6"/>
      <c r="U32" s="6"/>
      <c r="V32" s="6"/>
      <c r="W32" s="6"/>
      <c r="X32" s="6"/>
      <c r="Y32" s="6"/>
      <c r="Z32" s="6"/>
      <c r="AA32" s="6"/>
      <c r="AB32" s="6"/>
      <c r="AC32" s="6"/>
      <c r="AD32" s="6"/>
      <c r="AE32" s="6"/>
    </row>
    <row r="33" spans="1:31" ht="15.75">
      <c r="A33" s="18" t="s">
        <v>157</v>
      </c>
      <c r="B33" s="46">
        <v>3.843326548027868E-05</v>
      </c>
      <c r="C33" s="17">
        <v>2848.2175847257968</v>
      </c>
      <c r="D33" s="46">
        <v>60230370812.01619</v>
      </c>
      <c r="E33" s="46">
        <v>35784607437.5293</v>
      </c>
      <c r="F33" s="44">
        <v>0.005702387234816742</v>
      </c>
      <c r="G33" s="47">
        <v>64435706191.49314</v>
      </c>
      <c r="H33" s="48">
        <v>3.551642871714622E-05</v>
      </c>
      <c r="I33" s="47">
        <v>66300214229.284874</v>
      </c>
      <c r="J33" s="47">
        <v>36813639565.39894</v>
      </c>
      <c r="K33" s="17">
        <v>2897.0811647511005</v>
      </c>
      <c r="L33" s="43">
        <v>4.783845383326768</v>
      </c>
      <c r="M33" s="45">
        <v>6.310946113907974</v>
      </c>
      <c r="N33" s="45">
        <v>3.564708704902127</v>
      </c>
      <c r="O33" s="44">
        <v>0.26573138114401973</v>
      </c>
      <c r="P33" s="45">
        <v>1.7703960228866018</v>
      </c>
      <c r="R33" s="6"/>
      <c r="S33" s="6"/>
      <c r="T33" s="6"/>
      <c r="U33" s="6"/>
      <c r="V33" s="6"/>
      <c r="W33" s="6"/>
      <c r="X33" s="6"/>
      <c r="Y33" s="6"/>
      <c r="Z33" s="6"/>
      <c r="AA33" s="6"/>
      <c r="AB33" s="6"/>
      <c r="AC33" s="6"/>
      <c r="AD33" s="6"/>
      <c r="AE33" s="6"/>
    </row>
    <row r="34" spans="1:31" ht="15.75">
      <c r="A34" s="21" t="s">
        <v>290</v>
      </c>
      <c r="B34" s="46">
        <v>4.167202380726846E-05</v>
      </c>
      <c r="C34" s="17">
        <v>2691.7680379681433</v>
      </c>
      <c r="D34" s="46">
        <v>36000972058.71084</v>
      </c>
      <c r="E34" s="46">
        <v>19559583244.496437</v>
      </c>
      <c r="F34" s="44">
        <v>0.008853518014854546</v>
      </c>
      <c r="G34" s="47">
        <v>44532966954.3408</v>
      </c>
      <c r="H34" s="48">
        <v>3.2724947031559415E-05</v>
      </c>
      <c r="I34" s="47">
        <v>45627530545.60871</v>
      </c>
      <c r="J34" s="47">
        <v>20436971520.227127</v>
      </c>
      <c r="K34" s="17">
        <v>2763.578451018855</v>
      </c>
      <c r="L34" s="43">
        <v>4.063287792880141</v>
      </c>
      <c r="M34" s="45">
        <v>5.135217299151445</v>
      </c>
      <c r="N34" s="45">
        <v>2.7193954780983245</v>
      </c>
      <c r="O34" s="44">
        <v>0.30513893717250457</v>
      </c>
      <c r="P34" s="45">
        <v>1.8883672273892675</v>
      </c>
      <c r="R34" s="6"/>
      <c r="S34" s="6"/>
      <c r="T34" s="6"/>
      <c r="U34" s="6"/>
      <c r="V34" s="6"/>
      <c r="W34" s="6"/>
      <c r="X34" s="6"/>
      <c r="Y34" s="6"/>
      <c r="Z34" s="6"/>
      <c r="AA34" s="6"/>
      <c r="AB34" s="6"/>
      <c r="AC34" s="6"/>
      <c r="AD34" s="6"/>
      <c r="AE34" s="6"/>
    </row>
    <row r="35" spans="1:31" ht="15.75">
      <c r="A35" s="21" t="s">
        <v>274</v>
      </c>
      <c r="B35" s="46">
        <v>4.167202380726846E-05</v>
      </c>
      <c r="C35" s="17">
        <v>3202.508817051769</v>
      </c>
      <c r="D35" s="46">
        <v>37261837019.58856</v>
      </c>
      <c r="E35" s="46">
        <v>20244620113.004807</v>
      </c>
      <c r="F35" s="44">
        <v>0.008675707704973466</v>
      </c>
      <c r="G35" s="47">
        <v>44916545646.20476</v>
      </c>
      <c r="H35" s="48">
        <v>3.372495436979629E-05</v>
      </c>
      <c r="I35" s="47">
        <v>46054272830.52414</v>
      </c>
      <c r="J35" s="47">
        <v>21134263400.598785</v>
      </c>
      <c r="K35" s="17">
        <v>3286.2214386223036</v>
      </c>
      <c r="L35" s="43">
        <v>3.743575121449525</v>
      </c>
      <c r="M35" s="45">
        <v>4.75281537363596</v>
      </c>
      <c r="N35" s="45">
        <v>2.5359760378305785</v>
      </c>
      <c r="O35" s="44">
        <v>0.3009919910374945</v>
      </c>
      <c r="P35" s="45">
        <v>1.8741562628098787</v>
      </c>
      <c r="R35" s="6"/>
      <c r="S35" s="6"/>
      <c r="T35" s="6"/>
      <c r="U35" s="6"/>
      <c r="V35" s="6"/>
      <c r="W35" s="6"/>
      <c r="X35" s="6"/>
      <c r="Y35" s="6"/>
      <c r="Z35" s="6"/>
      <c r="AA35" s="6"/>
      <c r="AB35" s="6"/>
      <c r="AC35" s="6"/>
      <c r="AD35" s="6"/>
      <c r="AE35" s="6"/>
    </row>
    <row r="36" spans="1:31" ht="15.75">
      <c r="A36" s="21" t="s">
        <v>336</v>
      </c>
      <c r="B36" s="46">
        <v>4.289555473079793E-05</v>
      </c>
      <c r="C36" s="17">
        <v>2727.5728704308613</v>
      </c>
      <c r="D36" s="46">
        <v>50370999539.17463</v>
      </c>
      <c r="E36" s="46">
        <v>31206275808.781586</v>
      </c>
      <c r="F36" s="44">
        <v>0.006782276744931986</v>
      </c>
      <c r="G36" s="47">
        <v>54569900108.99525</v>
      </c>
      <c r="H36" s="48">
        <v>3.9119078620566427E-05</v>
      </c>
      <c r="I36" s="47">
        <v>56091702305.730736</v>
      </c>
      <c r="J36" s="47">
        <v>32275314096.706226</v>
      </c>
      <c r="K36" s="17">
        <v>2783.258108827851</v>
      </c>
      <c r="L36" s="43">
        <v>4.489237362014861</v>
      </c>
      <c r="M36" s="45">
        <v>5.967821904232793</v>
      </c>
      <c r="N36" s="45">
        <v>3.405324454600167</v>
      </c>
      <c r="O36" s="44">
        <v>0.25859950380406205</v>
      </c>
      <c r="P36" s="45">
        <v>1.7524972976278408</v>
      </c>
      <c r="R36" s="6"/>
      <c r="S36" s="6"/>
      <c r="T36" s="6"/>
      <c r="U36" s="6"/>
      <c r="V36" s="6"/>
      <c r="W36" s="6"/>
      <c r="X36" s="6"/>
      <c r="Y36" s="6"/>
      <c r="Z36" s="6"/>
      <c r="AA36" s="6"/>
      <c r="AB36" s="6"/>
      <c r="AC36" s="6"/>
      <c r="AD36" s="6"/>
      <c r="AE36" s="6"/>
    </row>
    <row r="37" spans="1:31" ht="15.75">
      <c r="A37" s="21" t="s">
        <v>256</v>
      </c>
      <c r="B37" s="46">
        <v>4.289555473079793E-05</v>
      </c>
      <c r="C37" s="17">
        <v>2725.4350587902513</v>
      </c>
      <c r="D37" s="46">
        <v>46070230724.42793</v>
      </c>
      <c r="E37" s="46">
        <v>27774926929.93934</v>
      </c>
      <c r="F37" s="44">
        <v>0.007034998176428724</v>
      </c>
      <c r="G37" s="47">
        <v>55091639645.041985</v>
      </c>
      <c r="H37" s="48">
        <v>3.513679956753841E-05</v>
      </c>
      <c r="I37" s="47">
        <v>56496234776.36082</v>
      </c>
      <c r="J37" s="47">
        <v>28762243473.476875</v>
      </c>
      <c r="K37" s="17">
        <v>2783.157206398479</v>
      </c>
      <c r="L37" s="43">
        <v>4.5054781041462135</v>
      </c>
      <c r="M37" s="45">
        <v>5.837681484045042</v>
      </c>
      <c r="N37" s="45">
        <v>3.21471524736889</v>
      </c>
      <c r="O37" s="44">
        <v>0.28238003051979177</v>
      </c>
      <c r="P37" s="45">
        <v>1.8159249062021716</v>
      </c>
      <c r="R37" s="6"/>
      <c r="S37" s="6"/>
      <c r="T37" s="6"/>
      <c r="U37" s="6"/>
      <c r="V37" s="6"/>
      <c r="W37" s="6"/>
      <c r="X37" s="6"/>
      <c r="Y37" s="6"/>
      <c r="Z37" s="6"/>
      <c r="AA37" s="6"/>
      <c r="AB37" s="6"/>
      <c r="AC37" s="6"/>
      <c r="AD37" s="6"/>
      <c r="AE37" s="6"/>
    </row>
    <row r="38" spans="1:31" ht="15.75">
      <c r="A38" s="21" t="s">
        <v>163</v>
      </c>
      <c r="B38" s="46">
        <v>2.6629790688582603E-05</v>
      </c>
      <c r="C38" s="17">
        <v>2722.204186343928</v>
      </c>
      <c r="D38" s="46">
        <v>49010158613.71597</v>
      </c>
      <c r="E38" s="46">
        <v>41769018061.779564</v>
      </c>
      <c r="F38" s="44">
        <v>0.006881922069146607</v>
      </c>
      <c r="G38" s="47">
        <v>54413533516.18474</v>
      </c>
      <c r="H38" s="48">
        <v>2.377020684873523E-05</v>
      </c>
      <c r="I38" s="47">
        <v>54973351970.487045</v>
      </c>
      <c r="J38" s="47">
        <v>44665605446.27679</v>
      </c>
      <c r="K38" s="17">
        <v>2778.5991250509915</v>
      </c>
      <c r="L38" s="43">
        <v>4.447983443355051</v>
      </c>
      <c r="M38" s="45">
        <v>6.420102013542335</v>
      </c>
      <c r="N38" s="45">
        <v>4.0093471867558765</v>
      </c>
      <c r="O38" s="44">
        <v>0.18032923752805385</v>
      </c>
      <c r="P38" s="45">
        <v>1.6012836291029955</v>
      </c>
      <c r="R38" s="6"/>
      <c r="S38" s="6"/>
      <c r="T38" s="6"/>
      <c r="U38" s="6"/>
      <c r="V38" s="6"/>
      <c r="W38" s="6"/>
      <c r="X38" s="6"/>
      <c r="Y38" s="6"/>
      <c r="Z38" s="6"/>
      <c r="AA38" s="6"/>
      <c r="AB38" s="6"/>
      <c r="AC38" s="6"/>
      <c r="AD38" s="6"/>
      <c r="AE38" s="6"/>
    </row>
    <row r="39" spans="1:31" ht="15.75">
      <c r="A39" s="21" t="s">
        <v>269</v>
      </c>
      <c r="B39" s="46">
        <v>2.864501809204291E-05</v>
      </c>
      <c r="C39" s="17">
        <v>2572.1385549550023</v>
      </c>
      <c r="D39" s="46">
        <v>70183789428.7776</v>
      </c>
      <c r="E39" s="46">
        <v>30452016465.8881</v>
      </c>
      <c r="F39" s="44">
        <v>0.00491282886559223</v>
      </c>
      <c r="G39" s="47">
        <v>74393851983.20679</v>
      </c>
      <c r="H39" s="48">
        <v>2.6886385532523976E-05</v>
      </c>
      <c r="I39" s="47">
        <v>75208646035.41733</v>
      </c>
      <c r="J39" s="47">
        <v>31205565607.853695</v>
      </c>
      <c r="K39" s="17">
        <v>2610.1409539051683</v>
      </c>
      <c r="L39" s="43">
        <v>5.367868951754781</v>
      </c>
      <c r="M39" s="45">
        <v>6.68989512189807</v>
      </c>
      <c r="N39" s="45">
        <v>3.4576740367025587</v>
      </c>
      <c r="O39" s="44">
        <v>0.3177468584076598</v>
      </c>
      <c r="P39" s="45">
        <v>1.9347963546841298</v>
      </c>
      <c r="R39" s="6"/>
      <c r="S39" s="6"/>
      <c r="T39" s="6"/>
      <c r="U39" s="6"/>
      <c r="V39" s="6"/>
      <c r="W39" s="6"/>
      <c r="X39" s="6"/>
      <c r="Y39" s="6"/>
      <c r="Z39" s="6"/>
      <c r="AA39" s="6"/>
      <c r="AB39" s="6"/>
      <c r="AC39" s="6"/>
      <c r="AD39" s="6"/>
      <c r="AE39" s="6"/>
    </row>
    <row r="40" spans="1:31" ht="15.75">
      <c r="A40" s="21" t="s">
        <v>270</v>
      </c>
      <c r="B40" s="46">
        <v>2.864501809204291E-05</v>
      </c>
      <c r="C40" s="17">
        <v>3263.2482691516407</v>
      </c>
      <c r="D40" s="46">
        <v>70200737706.29791</v>
      </c>
      <c r="E40" s="46">
        <v>30459370147.276886</v>
      </c>
      <c r="F40" s="44">
        <v>0.004911670942998471</v>
      </c>
      <c r="G40" s="47">
        <v>74410807215.17247</v>
      </c>
      <c r="H40" s="48">
        <v>2.6890727813287097E-05</v>
      </c>
      <c r="I40" s="47">
        <v>75200446361.1502</v>
      </c>
      <c r="J40" s="47">
        <v>31212922306.33512</v>
      </c>
      <c r="K40" s="17">
        <v>3311.4501680420094</v>
      </c>
      <c r="L40" s="43">
        <v>4.76541905658219</v>
      </c>
      <c r="M40" s="45">
        <v>5.93943548333294</v>
      </c>
      <c r="N40" s="45">
        <v>3.070139460493331</v>
      </c>
      <c r="O40" s="44">
        <v>0.31769165307980507</v>
      </c>
      <c r="P40" s="45">
        <v>1.934581656553983</v>
      </c>
      <c r="R40" s="6"/>
      <c r="S40" s="6"/>
      <c r="T40" s="6"/>
      <c r="U40" s="6"/>
      <c r="V40" s="6"/>
      <c r="W40" s="6"/>
      <c r="X40" s="6"/>
      <c r="Y40" s="6"/>
      <c r="Z40" s="6"/>
      <c r="AA40" s="6"/>
      <c r="AB40" s="6"/>
      <c r="AC40" s="6"/>
      <c r="AD40" s="6"/>
      <c r="AE40" s="6"/>
    </row>
    <row r="41" spans="1:31" ht="15.75">
      <c r="A41" s="21" t="s">
        <v>172</v>
      </c>
      <c r="B41" s="46">
        <v>3.382703141522655E-05</v>
      </c>
      <c r="C41" s="17">
        <v>2512.333418432266</v>
      </c>
      <c r="D41" s="46">
        <v>51754612805.262184</v>
      </c>
      <c r="E41" s="46">
        <v>31678101637.561115</v>
      </c>
      <c r="F41" s="44">
        <v>0.006478641980702853</v>
      </c>
      <c r="G41" s="47">
        <v>58052786771.21523</v>
      </c>
      <c r="H41" s="48">
        <v>2.964141115077126E-05</v>
      </c>
      <c r="I41" s="47">
        <v>59673783249.45355</v>
      </c>
      <c r="J41" s="47">
        <v>32714250673.952896</v>
      </c>
      <c r="K41" s="17">
        <v>2561.3207792679164</v>
      </c>
      <c r="L41" s="43">
        <v>4.826805510074508</v>
      </c>
      <c r="M41" s="45">
        <v>6.350428130386721</v>
      </c>
      <c r="N41" s="45">
        <v>3.573851494584102</v>
      </c>
      <c r="O41" s="44">
        <v>0.26824220436688545</v>
      </c>
      <c r="P41" s="45">
        <v>1.7769143849458513</v>
      </c>
      <c r="R41" s="6"/>
      <c r="S41" s="6"/>
      <c r="T41" s="6"/>
      <c r="U41" s="6"/>
      <c r="V41" s="6"/>
      <c r="W41" s="6"/>
      <c r="X41" s="6"/>
      <c r="Y41" s="6"/>
      <c r="Z41" s="6"/>
      <c r="AA41" s="6"/>
      <c r="AB41" s="6"/>
      <c r="AC41" s="6"/>
      <c r="AD41" s="6"/>
      <c r="AE41" s="6"/>
    </row>
    <row r="42" spans="1:31" ht="15.75">
      <c r="A42" s="21" t="s">
        <v>155</v>
      </c>
      <c r="B42" s="46">
        <v>4.822151286851445E-05</v>
      </c>
      <c r="C42" s="17">
        <v>3213.6824616831436</v>
      </c>
      <c r="D42" s="46">
        <v>86817863500.20433</v>
      </c>
      <c r="E42" s="46">
        <v>51834744055.40456</v>
      </c>
      <c r="F42" s="44">
        <v>0.003926266638853964</v>
      </c>
      <c r="G42" s="47">
        <v>93885324297.97142</v>
      </c>
      <c r="H42" s="48">
        <v>4.370083046923752E-05</v>
      </c>
      <c r="I42" s="47">
        <v>102189813579.40302</v>
      </c>
      <c r="J42" s="47">
        <v>52858329988.474045</v>
      </c>
      <c r="K42" s="17">
        <v>3251.609998543918</v>
      </c>
      <c r="L42" s="43">
        <v>5.606019167046815</v>
      </c>
      <c r="M42" s="45">
        <v>7.287124418846696</v>
      </c>
      <c r="N42" s="45">
        <v>4.03187903412809</v>
      </c>
      <c r="O42" s="44">
        <v>0.2794063190431575</v>
      </c>
      <c r="P42" s="45">
        <v>1.8073767484501346</v>
      </c>
      <c r="R42" s="6"/>
      <c r="S42" s="6"/>
      <c r="T42" s="6"/>
      <c r="U42" s="6"/>
      <c r="V42" s="6"/>
      <c r="W42" s="6"/>
      <c r="X42" s="6"/>
      <c r="Y42" s="6"/>
      <c r="Z42" s="6"/>
      <c r="AA42" s="6"/>
      <c r="AB42" s="6"/>
      <c r="AC42" s="6"/>
      <c r="AD42" s="6"/>
      <c r="AE42" s="6"/>
    </row>
    <row r="43" spans="1:31" ht="15.75">
      <c r="A43" s="21" t="s">
        <v>335</v>
      </c>
      <c r="B43" s="46">
        <v>3.310730734256216E-05</v>
      </c>
      <c r="C43" s="17">
        <v>3241.272282306425</v>
      </c>
      <c r="D43" s="46">
        <v>96611885121.0566</v>
      </c>
      <c r="E43" s="46">
        <v>57682280305.69227</v>
      </c>
      <c r="F43" s="44">
        <v>0.0035406434087369852</v>
      </c>
      <c r="G43" s="47">
        <v>103692925153.04395</v>
      </c>
      <c r="H43" s="48">
        <v>3.029401239819093E-05</v>
      </c>
      <c r="I43" s="47">
        <v>110051085156.90373</v>
      </c>
      <c r="J43" s="47">
        <v>58708871983.96093</v>
      </c>
      <c r="K43" s="17">
        <v>3275.76172823116</v>
      </c>
      <c r="L43" s="43">
        <v>5.796168633514822</v>
      </c>
      <c r="M43" s="45">
        <v>7.582337611616383</v>
      </c>
      <c r="N43" s="45">
        <v>4.233462486109156</v>
      </c>
      <c r="O43" s="44">
        <v>0.2735359096233754</v>
      </c>
      <c r="P43" s="45">
        <v>1.791048730559338</v>
      </c>
      <c r="R43" s="6"/>
      <c r="S43" s="6"/>
      <c r="T43" s="6"/>
      <c r="U43" s="6"/>
      <c r="V43" s="6"/>
      <c r="W43" s="6"/>
      <c r="X43" s="6"/>
      <c r="Y43" s="6"/>
      <c r="Z43" s="6"/>
      <c r="AA43" s="6"/>
      <c r="AB43" s="6"/>
      <c r="AC43" s="6"/>
      <c r="AD43" s="6"/>
      <c r="AE43" s="6"/>
    </row>
    <row r="44" spans="1:31" ht="15.75">
      <c r="A44" s="21" t="s">
        <v>154</v>
      </c>
      <c r="B44" s="46">
        <v>3.634606566955194E-05</v>
      </c>
      <c r="C44" s="17">
        <v>3392.4571781275654</v>
      </c>
      <c r="D44" s="46">
        <v>91850538932.19655</v>
      </c>
      <c r="E44" s="46">
        <v>72030565375.87874</v>
      </c>
      <c r="F44" s="44">
        <v>0.0037083463071707454</v>
      </c>
      <c r="G44" s="47">
        <v>99426789475.1655</v>
      </c>
      <c r="H44" s="48">
        <v>3.308545499812824E-05</v>
      </c>
      <c r="I44" s="47">
        <v>104368200030.76614</v>
      </c>
      <c r="J44" s="47">
        <v>73373575098.171</v>
      </c>
      <c r="K44" s="17">
        <v>3430.2682887651467</v>
      </c>
      <c r="L44" s="43">
        <v>5.515946592589508</v>
      </c>
      <c r="M44" s="45">
        <v>7.677611596784616</v>
      </c>
      <c r="N44" s="45">
        <v>4.624936730819825</v>
      </c>
      <c r="O44" s="44">
        <v>0.21522230823767716</v>
      </c>
      <c r="P44" s="45">
        <v>1.660046838180999</v>
      </c>
      <c r="R44" s="6"/>
      <c r="S44" s="6"/>
      <c r="T44" s="6"/>
      <c r="U44" s="6"/>
      <c r="V44" s="6"/>
      <c r="W44" s="6"/>
      <c r="X44" s="6"/>
      <c r="Y44" s="6"/>
      <c r="Z44" s="6"/>
      <c r="AA44" s="6"/>
      <c r="AB44" s="6"/>
      <c r="AC44" s="6"/>
      <c r="AD44" s="6"/>
      <c r="AE44" s="6"/>
    </row>
    <row r="45" spans="1:31" ht="15.75">
      <c r="A45" s="21" t="s">
        <v>277</v>
      </c>
      <c r="B45" s="46">
        <v>2.2743280696194877E-05</v>
      </c>
      <c r="C45" s="17">
        <v>3042.1175514775496</v>
      </c>
      <c r="D45" s="46">
        <v>108932942678.16037</v>
      </c>
      <c r="E45" s="46">
        <v>46243448880.42035</v>
      </c>
      <c r="F45" s="44">
        <v>0.0031701251790713296</v>
      </c>
      <c r="G45" s="47">
        <v>114702371830.181</v>
      </c>
      <c r="H45" s="48">
        <v>2.1400320095420434E-05</v>
      </c>
      <c r="I45" s="47">
        <v>117577180187.7072</v>
      </c>
      <c r="J45" s="47">
        <v>46979925662.68152</v>
      </c>
      <c r="K45" s="17">
        <v>3071.09504200038</v>
      </c>
      <c r="L45" s="43">
        <v>6.18749543863048</v>
      </c>
      <c r="M45" s="45">
        <v>7.660398228819873</v>
      </c>
      <c r="N45" s="45">
        <v>3.911195586489538</v>
      </c>
      <c r="O45" s="44">
        <v>0.32369810613785904</v>
      </c>
      <c r="P45" s="45">
        <v>1.9585822440793357</v>
      </c>
      <c r="R45" s="6"/>
      <c r="S45" s="6"/>
      <c r="T45" s="6"/>
      <c r="U45" s="6"/>
      <c r="V45" s="6"/>
      <c r="W45" s="6"/>
      <c r="X45" s="6"/>
      <c r="Y45" s="6"/>
      <c r="Z45" s="6"/>
      <c r="AA45" s="6"/>
      <c r="AB45" s="6"/>
      <c r="AC45" s="6"/>
      <c r="AD45" s="6"/>
      <c r="AE45" s="6"/>
    </row>
    <row r="46" spans="1:31" ht="15.75">
      <c r="A46" s="21" t="s">
        <v>333</v>
      </c>
      <c r="B46" s="46">
        <v>3.670592770588413E-05</v>
      </c>
      <c r="C46" s="17">
        <v>2850.428572753063</v>
      </c>
      <c r="D46" s="46">
        <v>71909282530.41516</v>
      </c>
      <c r="E46" s="46">
        <v>44549858537.36158</v>
      </c>
      <c r="F46" s="44">
        <v>0.004797678580121303</v>
      </c>
      <c r="G46" s="47">
        <v>76120036902.7376</v>
      </c>
      <c r="H46" s="48">
        <v>3.425221745146523E-05</v>
      </c>
      <c r="I46" s="47">
        <v>78874862937.53574</v>
      </c>
      <c r="J46" s="47">
        <v>45626241103.38836</v>
      </c>
      <c r="K46" s="17">
        <v>2891.5531518000685</v>
      </c>
      <c r="L46" s="43">
        <v>5.222803889698163</v>
      </c>
      <c r="M46" s="45">
        <v>6.951010186479735</v>
      </c>
      <c r="N46" s="45">
        <v>3.972297396560846</v>
      </c>
      <c r="O46" s="44">
        <v>0.2575229037397279</v>
      </c>
      <c r="P46" s="45">
        <v>1.7498715459969871</v>
      </c>
      <c r="R46" s="6"/>
      <c r="S46" s="6"/>
      <c r="T46" s="6"/>
      <c r="U46" s="6"/>
      <c r="V46" s="6"/>
      <c r="W46" s="6"/>
      <c r="X46" s="6"/>
      <c r="Y46" s="6"/>
      <c r="Z46" s="6"/>
      <c r="AA46" s="6"/>
      <c r="AB46" s="6"/>
      <c r="AC46" s="6"/>
      <c r="AD46" s="6"/>
      <c r="AE46" s="6"/>
    </row>
    <row r="47" spans="1:31" ht="15.75">
      <c r="A47" s="21" t="s">
        <v>334</v>
      </c>
      <c r="B47" s="46">
        <v>3.598620363321974E-05</v>
      </c>
      <c r="C47" s="17">
        <v>3095.658965334092</v>
      </c>
      <c r="D47" s="46">
        <v>137140685863.02455</v>
      </c>
      <c r="E47" s="46">
        <v>81880065515.2702</v>
      </c>
      <c r="F47" s="44">
        <v>0.00254394768146194</v>
      </c>
      <c r="G47" s="47">
        <v>141365074890.9784</v>
      </c>
      <c r="H47" s="48">
        <v>3.453952401307424E-05</v>
      </c>
      <c r="I47" s="47">
        <v>150004834915.1954</v>
      </c>
      <c r="J47" s="47">
        <v>82925536152.96501</v>
      </c>
      <c r="K47" s="17">
        <v>3119.3145743661194</v>
      </c>
      <c r="L47" s="43">
        <v>6.934625966797424</v>
      </c>
      <c r="M47" s="45">
        <v>9.13975315169984</v>
      </c>
      <c r="N47" s="45">
        <v>5.156019567551072</v>
      </c>
      <c r="O47" s="44">
        <v>0.2665998148314668</v>
      </c>
      <c r="P47" s="45">
        <v>1.772637406037018</v>
      </c>
      <c r="R47" s="6"/>
      <c r="S47" s="6"/>
      <c r="T47" s="6"/>
      <c r="U47" s="6"/>
      <c r="V47" s="6"/>
      <c r="W47" s="6"/>
      <c r="X47" s="6"/>
      <c r="Y47" s="6"/>
      <c r="Z47" s="6"/>
      <c r="AA47" s="6"/>
      <c r="AB47" s="6"/>
      <c r="AC47" s="6"/>
      <c r="AD47" s="6"/>
      <c r="AE47" s="6"/>
    </row>
    <row r="48" spans="1:31" ht="15.75">
      <c r="A48" s="21" t="s">
        <v>338</v>
      </c>
      <c r="B48" s="46">
        <v>1.7129432929412593E-05</v>
      </c>
      <c r="C48" s="17">
        <v>2275.900413193247</v>
      </c>
      <c r="D48" s="46">
        <v>36525462831.07643</v>
      </c>
      <c r="E48" s="46">
        <v>21893384314.331524</v>
      </c>
      <c r="F48" s="44">
        <v>0.009240725573066448</v>
      </c>
      <c r="G48" s="47">
        <v>40709869040.414314</v>
      </c>
      <c r="H48" s="48">
        <v>1.5121059139599156E-05</v>
      </c>
      <c r="I48" s="47">
        <v>41133028526.21857</v>
      </c>
      <c r="J48" s="47">
        <v>22919002421.82456</v>
      </c>
      <c r="K48" s="17">
        <v>2339.2839470307977</v>
      </c>
      <c r="L48" s="43">
        <v>4.193280100033772</v>
      </c>
      <c r="M48" s="45">
        <v>5.535960265927333</v>
      </c>
      <c r="N48" s="45">
        <v>3.1300868280992202</v>
      </c>
      <c r="O48" s="44">
        <v>0.26504269497682337</v>
      </c>
      <c r="P48" s="45">
        <v>1.7686283384314632</v>
      </c>
      <c r="R48" s="6"/>
      <c r="S48" s="6"/>
      <c r="T48" s="6"/>
      <c r="U48" s="6"/>
      <c r="V48" s="6"/>
      <c r="W48" s="6"/>
      <c r="X48" s="6"/>
      <c r="Y48" s="6"/>
      <c r="Z48" s="6"/>
      <c r="AA48" s="6"/>
      <c r="AB48" s="6"/>
      <c r="AC48" s="6"/>
      <c r="AD48" s="6"/>
      <c r="AE48" s="6"/>
    </row>
    <row r="49" spans="1:31" ht="15.75">
      <c r="A49" s="21" t="s">
        <v>339</v>
      </c>
      <c r="B49" s="46">
        <v>1.7129432929412593E-05</v>
      </c>
      <c r="C49" s="17">
        <v>2248.301794064009</v>
      </c>
      <c r="D49" s="46">
        <v>36525462831.07643</v>
      </c>
      <c r="E49" s="46">
        <v>21893384314.331524</v>
      </c>
      <c r="F49" s="44">
        <v>0.009240725573066448</v>
      </c>
      <c r="G49" s="47">
        <v>40709869040.414314</v>
      </c>
      <c r="H49" s="48">
        <v>1.5121059139599156E-05</v>
      </c>
      <c r="I49" s="47">
        <v>41133028526.21857</v>
      </c>
      <c r="J49" s="47">
        <v>22919002421.82456</v>
      </c>
      <c r="K49" s="17">
        <v>2310.9167099078604</v>
      </c>
      <c r="L49" s="43">
        <v>4.218938521901097</v>
      </c>
      <c r="M49" s="45">
        <v>5.5698344647777205</v>
      </c>
      <c r="N49" s="45">
        <v>3.149239636020657</v>
      </c>
      <c r="O49" s="44">
        <v>0.26504269497682337</v>
      </c>
      <c r="P49" s="45">
        <v>1.7686283384314632</v>
      </c>
      <c r="R49" s="6"/>
      <c r="S49" s="6"/>
      <c r="T49" s="6"/>
      <c r="U49" s="6"/>
      <c r="V49" s="6"/>
      <c r="W49" s="6"/>
      <c r="X49" s="6"/>
      <c r="Y49" s="6"/>
      <c r="Z49" s="6"/>
      <c r="AA49" s="6"/>
      <c r="AB49" s="6"/>
      <c r="AC49" s="6"/>
      <c r="AD49" s="6"/>
      <c r="AE49" s="6"/>
    </row>
    <row r="50" spans="1:31" ht="15.75">
      <c r="A50" s="21" t="s">
        <v>173</v>
      </c>
      <c r="B50" s="46">
        <v>9.35641294463713E-05</v>
      </c>
      <c r="C50" s="17">
        <v>2199.5070238990047</v>
      </c>
      <c r="D50" s="46">
        <v>30293644835.500427</v>
      </c>
      <c r="E50" s="46">
        <v>24683710606.704052</v>
      </c>
      <c r="F50" s="44">
        <v>0.01059628639693222</v>
      </c>
      <c r="G50" s="47">
        <v>37133734136.76495</v>
      </c>
      <c r="H50" s="48">
        <v>8.121434771625133E-05</v>
      </c>
      <c r="I50" s="47">
        <v>39360413999.228966</v>
      </c>
      <c r="J50" s="47">
        <v>28084617304.747417</v>
      </c>
      <c r="K50" s="17">
        <v>2269.7959900265664</v>
      </c>
      <c r="L50" s="43">
        <v>4.164246378003766</v>
      </c>
      <c r="M50" s="45">
        <v>5.817089883736931</v>
      </c>
      <c r="N50" s="45">
        <v>3.5175545644762622</v>
      </c>
      <c r="O50" s="44">
        <v>0.21178682793527337</v>
      </c>
      <c r="P50" s="45">
        <v>1.6537312434279332</v>
      </c>
      <c r="R50" s="6"/>
      <c r="S50" s="6"/>
      <c r="T50" s="6"/>
      <c r="U50" s="6"/>
      <c r="V50" s="6"/>
      <c r="W50" s="6"/>
      <c r="X50" s="6"/>
      <c r="Y50" s="6"/>
      <c r="Z50" s="6"/>
      <c r="AA50" s="6"/>
      <c r="AB50" s="6"/>
      <c r="AC50" s="6"/>
      <c r="AD50" s="6"/>
      <c r="AE50" s="6"/>
    </row>
    <row r="51" spans="1:31" ht="15.75">
      <c r="A51" s="21" t="s">
        <v>151</v>
      </c>
      <c r="B51" s="46">
        <v>3.598620363321974E-05</v>
      </c>
      <c r="C51" s="17">
        <v>3052.0034800818094</v>
      </c>
      <c r="D51" s="46">
        <v>106624244580.11838</v>
      </c>
      <c r="E51" s="46">
        <v>62841624201.99429</v>
      </c>
      <c r="F51" s="44">
        <v>0.0032604062264038306</v>
      </c>
      <c r="G51" s="47">
        <v>110844279541.14223</v>
      </c>
      <c r="H51" s="48">
        <v>3.42640198331259E-05</v>
      </c>
      <c r="I51" s="47">
        <v>115824140602.4354</v>
      </c>
      <c r="J51" s="47">
        <v>63871085922.48441</v>
      </c>
      <c r="K51" s="17">
        <v>3081.904406103848</v>
      </c>
      <c r="L51" s="43">
        <v>6.1304162166315415</v>
      </c>
      <c r="M51" s="45">
        <v>8.07556425502153</v>
      </c>
      <c r="N51" s="45">
        <v>4.5524225732989505</v>
      </c>
      <c r="O51" s="44">
        <v>0.2670885109807993</v>
      </c>
      <c r="P51" s="45">
        <v>1.773904800135789</v>
      </c>
      <c r="R51" s="6"/>
      <c r="S51" s="6"/>
      <c r="T51" s="6"/>
      <c r="U51" s="6"/>
      <c r="V51" s="6"/>
      <c r="W51" s="6"/>
      <c r="X51" s="6"/>
      <c r="Y51" s="6"/>
      <c r="Z51" s="6"/>
      <c r="AA51" s="6"/>
      <c r="AB51" s="6"/>
      <c r="AC51" s="6"/>
      <c r="AD51" s="6"/>
      <c r="AE51" s="6"/>
    </row>
    <row r="52" spans="1:31" ht="15.75">
      <c r="A52" s="21" t="s">
        <v>340</v>
      </c>
      <c r="B52" s="46">
        <v>5.944920840207901E-05</v>
      </c>
      <c r="C52" s="17">
        <v>2810.570885148674</v>
      </c>
      <c r="D52" s="46">
        <v>70253316273.71623</v>
      </c>
      <c r="E52" s="46">
        <v>41264718449.20638</v>
      </c>
      <c r="F52" s="44">
        <v>0.004846177999128206</v>
      </c>
      <c r="G52" s="47">
        <v>76292756514.46266</v>
      </c>
      <c r="H52" s="48">
        <v>5.310482425785991E-05</v>
      </c>
      <c r="I52" s="47">
        <v>86607909699.21828</v>
      </c>
      <c r="J52" s="47">
        <v>43130951047.10047</v>
      </c>
      <c r="K52" s="17">
        <v>2851.531317396845</v>
      </c>
      <c r="L52" s="43">
        <v>5.511117945700061</v>
      </c>
      <c r="M52" s="45">
        <v>7.109135509956211</v>
      </c>
      <c r="N52" s="45">
        <v>3.8891567229448754</v>
      </c>
      <c r="O52" s="44">
        <v>0.28644849936057104</v>
      </c>
      <c r="P52" s="45">
        <v>1.8279375238376</v>
      </c>
      <c r="R52" s="6"/>
      <c r="S52" s="6"/>
      <c r="T52" s="6"/>
      <c r="U52" s="6"/>
      <c r="V52" s="6"/>
      <c r="W52" s="6"/>
      <c r="X52" s="6"/>
      <c r="Y52" s="6"/>
      <c r="Z52" s="6"/>
      <c r="AA52" s="6"/>
      <c r="AB52" s="6"/>
      <c r="AC52" s="6"/>
      <c r="AD52" s="6"/>
      <c r="AE52" s="6"/>
    </row>
    <row r="53" spans="1:31" ht="15.75">
      <c r="A53" s="21" t="s">
        <v>341</v>
      </c>
      <c r="B53" s="46">
        <v>1.5905902005883123E-05</v>
      </c>
      <c r="C53" s="17">
        <v>3205.7299795420295</v>
      </c>
      <c r="D53" s="46">
        <v>160551712980.11063</v>
      </c>
      <c r="E53" s="46">
        <v>87543165000.44702</v>
      </c>
      <c r="F53" s="44">
        <v>0.002176971227933114</v>
      </c>
      <c r="G53" s="47">
        <v>164778339370.8557</v>
      </c>
      <c r="H53" s="48">
        <v>1.5445222788252445E-05</v>
      </c>
      <c r="I53" s="47">
        <v>166430654496.94052</v>
      </c>
      <c r="J53" s="47">
        <v>88499173650.9458</v>
      </c>
      <c r="K53" s="17">
        <v>3226.6890977331955</v>
      </c>
      <c r="L53" s="43">
        <v>7.181879261453831</v>
      </c>
      <c r="M53" s="45">
        <v>9.3887721225607</v>
      </c>
      <c r="N53" s="45">
        <v>5.237102174146905</v>
      </c>
      <c r="O53" s="44">
        <v>0.274156580308557</v>
      </c>
      <c r="P53" s="45">
        <v>1.7927418275145797</v>
      </c>
      <c r="R53" s="6"/>
      <c r="S53" s="6"/>
      <c r="T53" s="6"/>
      <c r="U53" s="6"/>
      <c r="V53" s="6"/>
      <c r="W53" s="6"/>
      <c r="X53" s="6"/>
      <c r="Y53" s="6"/>
      <c r="Z53" s="6"/>
      <c r="AA53" s="6"/>
      <c r="AB53" s="6"/>
      <c r="AC53" s="6"/>
      <c r="AD53" s="6"/>
      <c r="AE53" s="6"/>
    </row>
    <row r="54" spans="1:31" ht="15.75">
      <c r="A54" s="21" t="s">
        <v>342</v>
      </c>
      <c r="B54" s="46">
        <v>2.9076852535641547E-05</v>
      </c>
      <c r="C54" s="17">
        <v>3581.143464470004</v>
      </c>
      <c r="D54" s="46">
        <v>132667785718.1303</v>
      </c>
      <c r="E54" s="46">
        <v>72339046652.24599</v>
      </c>
      <c r="F54" s="44">
        <v>0.0026124412275652454</v>
      </c>
      <c r="G54" s="47">
        <v>138550870872.33585</v>
      </c>
      <c r="H54" s="48">
        <v>2.76126104786485E-05</v>
      </c>
      <c r="I54" s="47">
        <v>143469753999.83774</v>
      </c>
      <c r="J54" s="47">
        <v>73287660186.87196</v>
      </c>
      <c r="K54" s="17">
        <v>3609.2466742385727</v>
      </c>
      <c r="L54" s="43">
        <v>6.304808417785399</v>
      </c>
      <c r="M54" s="45">
        <v>8.174634353169344</v>
      </c>
      <c r="N54" s="45">
        <v>4.506165578102858</v>
      </c>
      <c r="O54" s="44">
        <v>0.2817507206454013</v>
      </c>
      <c r="P54" s="45">
        <v>1.814099861952021</v>
      </c>
      <c r="R54" s="6"/>
      <c r="S54" s="6"/>
      <c r="T54" s="6"/>
      <c r="U54" s="6"/>
      <c r="V54" s="6"/>
      <c r="W54" s="6"/>
      <c r="X54" s="6"/>
      <c r="Y54" s="6"/>
      <c r="Z54" s="6"/>
      <c r="AA54" s="6"/>
      <c r="AB54" s="6"/>
      <c r="AC54" s="6"/>
      <c r="AD54" s="6"/>
      <c r="AE54" s="6"/>
    </row>
    <row r="55" spans="1:31" ht="15.75">
      <c r="A55" s="21" t="s">
        <v>343</v>
      </c>
      <c r="B55" s="46">
        <v>3.102010753183541E-05</v>
      </c>
      <c r="C55" s="17">
        <v>3482.734131308283</v>
      </c>
      <c r="D55" s="46">
        <v>165533842637.52844</v>
      </c>
      <c r="E55" s="46">
        <v>96597303880.10104</v>
      </c>
      <c r="F55" s="44">
        <v>0.002112131882615546</v>
      </c>
      <c r="G55" s="47">
        <v>169760864844.8188</v>
      </c>
      <c r="H55" s="48">
        <v>2.977103079807056E-05</v>
      </c>
      <c r="I55" s="47">
        <v>177995982804.52643</v>
      </c>
      <c r="J55" s="47">
        <v>97560496930.47087</v>
      </c>
      <c r="K55" s="17">
        <v>3504.8254015620737</v>
      </c>
      <c r="L55" s="43">
        <v>7.126428078858339</v>
      </c>
      <c r="M55" s="45">
        <v>9.375537914463902</v>
      </c>
      <c r="N55" s="45">
        <v>5.275988108099484</v>
      </c>
      <c r="O55" s="44">
        <v>0.2682826290293789</v>
      </c>
      <c r="P55" s="45">
        <v>1.7770202893503406</v>
      </c>
      <c r="R55" s="6"/>
      <c r="S55" s="6"/>
      <c r="T55" s="6"/>
      <c r="U55" s="6"/>
      <c r="V55" s="6"/>
      <c r="W55" s="6"/>
      <c r="X55" s="6"/>
      <c r="Y55" s="6"/>
      <c r="Z55" s="6"/>
      <c r="AA55" s="6"/>
      <c r="AB55" s="6"/>
      <c r="AC55" s="6"/>
      <c r="AD55" s="6"/>
      <c r="AE55" s="6"/>
    </row>
    <row r="56" spans="1:31" ht="15.75">
      <c r="A56" s="21" t="s">
        <v>344</v>
      </c>
      <c r="B56" s="46">
        <v>2.842910087024359E-05</v>
      </c>
      <c r="C56" s="17">
        <v>4163.034192519521</v>
      </c>
      <c r="D56" s="46">
        <v>184300194798.7228</v>
      </c>
      <c r="E56" s="46">
        <v>74510729249.69313</v>
      </c>
      <c r="F56" s="44">
        <v>0.0018990781135937314</v>
      </c>
      <c r="G56" s="47">
        <v>188528518684.18234</v>
      </c>
      <c r="H56" s="48">
        <v>2.75929271637837E-05</v>
      </c>
      <c r="I56" s="47">
        <v>196806286609.40216</v>
      </c>
      <c r="J56" s="47">
        <v>75220254421.4241</v>
      </c>
      <c r="K56" s="17">
        <v>4186.774480606647</v>
      </c>
      <c r="L56" s="43">
        <v>6.856140350245166</v>
      </c>
      <c r="M56" s="45">
        <v>8.42386720344057</v>
      </c>
      <c r="N56" s="45">
        <v>4.238650565829449</v>
      </c>
      <c r="O56" s="44">
        <v>0.33049316180986615</v>
      </c>
      <c r="P56" s="45">
        <v>1.987393646305951</v>
      </c>
      <c r="R56" s="6"/>
      <c r="S56" s="6"/>
      <c r="T56" s="6"/>
      <c r="U56" s="6"/>
      <c r="V56" s="6"/>
      <c r="W56" s="6"/>
      <c r="X56" s="6"/>
      <c r="Y56" s="6"/>
      <c r="Z56" s="6"/>
      <c r="AA56" s="6"/>
      <c r="AB56" s="6"/>
      <c r="AC56" s="6"/>
      <c r="AD56" s="6"/>
      <c r="AE56" s="6"/>
    </row>
    <row r="57" spans="1:31" ht="15.75">
      <c r="A57" s="21" t="s">
        <v>345</v>
      </c>
      <c r="B57" s="46">
        <v>5.009279545744187E-05</v>
      </c>
      <c r="C57" s="17">
        <v>4985.963237184078</v>
      </c>
      <c r="D57" s="46">
        <v>139966219503.48538</v>
      </c>
      <c r="E57" s="46">
        <v>60555150845.87916</v>
      </c>
      <c r="F57" s="44">
        <v>0.0024822662679639096</v>
      </c>
      <c r="G57" s="47">
        <v>145438533165.93692</v>
      </c>
      <c r="H57" s="48">
        <v>4.743112408995033E-05</v>
      </c>
      <c r="I57" s="47">
        <v>164318871243.44678</v>
      </c>
      <c r="J57" s="47">
        <v>61104147343.847786</v>
      </c>
      <c r="K57" s="17">
        <v>5023.138746805376</v>
      </c>
      <c r="L57" s="43">
        <v>5.719474583302181</v>
      </c>
      <c r="M57" s="45">
        <v>6.995124700460681</v>
      </c>
      <c r="N57" s="45">
        <v>3.4877693515292276</v>
      </c>
      <c r="O57" s="44">
        <v>0.3345737011982716</v>
      </c>
      <c r="P57" s="45">
        <v>2.005615622889065</v>
      </c>
      <c r="R57" s="6"/>
      <c r="S57" s="6"/>
      <c r="T57" s="6"/>
      <c r="U57" s="6"/>
      <c r="V57" s="6"/>
      <c r="W57" s="6"/>
      <c r="X57" s="6"/>
      <c r="Y57" s="6"/>
      <c r="Z57" s="6"/>
      <c r="AA57" s="6"/>
      <c r="AB57" s="6"/>
      <c r="AC57" s="6"/>
      <c r="AD57" s="6"/>
      <c r="AE57" s="6"/>
    </row>
    <row r="58" spans="1:31" ht="15.75">
      <c r="A58" s="21" t="s">
        <v>171</v>
      </c>
      <c r="B58" s="46">
        <v>3.166785919723337E-05</v>
      </c>
      <c r="C58" s="17">
        <v>2641.5384901500465</v>
      </c>
      <c r="D58" s="46">
        <v>64746566225.67344</v>
      </c>
      <c r="E58" s="46">
        <v>28204330509.413967</v>
      </c>
      <c r="F58" s="44">
        <v>0.0053148082435099595</v>
      </c>
      <c r="G58" s="47">
        <v>68954217324.23076</v>
      </c>
      <c r="H58" s="48">
        <v>2.937908838111478E-05</v>
      </c>
      <c r="I58" s="47">
        <v>70836784199.54663</v>
      </c>
      <c r="J58" s="47">
        <v>28959819319.955147</v>
      </c>
      <c r="K58" s="17">
        <v>2683.7680283265254</v>
      </c>
      <c r="L58" s="43">
        <v>5.13756028686128</v>
      </c>
      <c r="M58" s="45">
        <v>6.386091704864869</v>
      </c>
      <c r="N58" s="45">
        <v>3.284924834963092</v>
      </c>
      <c r="O58" s="44">
        <v>0.32010312646575156</v>
      </c>
      <c r="P58" s="45">
        <v>1.9440602222901762</v>
      </c>
      <c r="R58" s="6"/>
      <c r="S58" s="6"/>
      <c r="T58" s="6"/>
      <c r="U58" s="6"/>
      <c r="V58" s="6"/>
      <c r="W58" s="6"/>
      <c r="X58" s="6"/>
      <c r="Y58" s="6"/>
      <c r="Z58" s="6"/>
      <c r="AA58" s="6"/>
      <c r="AB58" s="6"/>
      <c r="AC58" s="6"/>
      <c r="AD58" s="6"/>
      <c r="AE58" s="6"/>
    </row>
    <row r="59" spans="1:31" ht="15.75">
      <c r="A59" s="21" t="s">
        <v>337</v>
      </c>
      <c r="B59" s="46">
        <v>8.27682683564054E-05</v>
      </c>
      <c r="C59" s="17">
        <v>2733.482656507801</v>
      </c>
      <c r="D59" s="46">
        <v>31043568398.595085</v>
      </c>
      <c r="E59" s="46">
        <v>26066729691.33343</v>
      </c>
      <c r="F59" s="44">
        <v>0.010790249541021866</v>
      </c>
      <c r="G59" s="47">
        <v>35218946119.42194</v>
      </c>
      <c r="H59" s="48">
        <v>6.92011270405034E-05</v>
      </c>
      <c r="I59" s="47">
        <v>40151990830.41242</v>
      </c>
      <c r="J59" s="47">
        <v>27495905951.014744</v>
      </c>
      <c r="K59" s="17">
        <v>2822.4432201206037</v>
      </c>
      <c r="L59" s="43">
        <v>3.7717329414320764</v>
      </c>
      <c r="M59" s="45">
        <v>5.216813590172919</v>
      </c>
      <c r="N59" s="45">
        <v>3.1211986463291224</v>
      </c>
      <c r="O59" s="44">
        <v>0.2212346381758157</v>
      </c>
      <c r="P59" s="45">
        <v>1.6714135116995752</v>
      </c>
      <c r="R59" s="6"/>
      <c r="S59" s="6"/>
      <c r="T59" s="6"/>
      <c r="U59" s="6"/>
      <c r="V59" s="6"/>
      <c r="W59" s="6"/>
      <c r="X59" s="6"/>
      <c r="Y59" s="6"/>
      <c r="Z59" s="6"/>
      <c r="AA59" s="6"/>
      <c r="AB59" s="6"/>
      <c r="AC59" s="6"/>
      <c r="AD59" s="6"/>
      <c r="AE59" s="6"/>
    </row>
    <row r="60" spans="1:16" ht="15.75">
      <c r="A60" s="21" t="s">
        <v>596</v>
      </c>
      <c r="B60" s="46">
        <v>4.663811990865278E-05</v>
      </c>
      <c r="C60" s="17">
        <v>2891.081408637787</v>
      </c>
      <c r="D60" s="46">
        <v>85286045216.18877</v>
      </c>
      <c r="E60" s="46">
        <v>50943260788.248695</v>
      </c>
      <c r="F60" s="44">
        <v>0.004025688493548862</v>
      </c>
      <c r="G60" s="47">
        <v>90978356625.96236</v>
      </c>
      <c r="H60" s="48">
        <v>4.482309408123749E-05</v>
      </c>
      <c r="I60" s="47">
        <v>99180463245.2776</v>
      </c>
      <c r="J60" s="47">
        <v>51974869545.535736</v>
      </c>
      <c r="K60" s="17">
        <v>2926.067374120742</v>
      </c>
      <c r="L60" s="43">
        <v>5.821982629530112</v>
      </c>
      <c r="M60" s="45">
        <v>7.588088526084761</v>
      </c>
      <c r="N60" s="45">
        <v>4.2145823406194864</v>
      </c>
      <c r="O60" s="44">
        <v>0.2769422673537423</v>
      </c>
      <c r="P60" s="45">
        <v>1.8004366536992167</v>
      </c>
    </row>
    <row r="61" ht="15">
      <c r="C61" s="5" t="s">
        <v>569</v>
      </c>
    </row>
    <row r="62" ht="15"/>
    <row r="63" ht="15"/>
    <row r="64" ht="15">
      <c r="AR64" s="4">
        <v>1000</v>
      </c>
    </row>
    <row r="65" spans="4:14" ht="15">
      <c r="D65" s="5"/>
      <c r="E65" s="6"/>
      <c r="F65" s="6"/>
      <c r="G65" s="5"/>
      <c r="H65" s="5"/>
      <c r="I65" s="5"/>
      <c r="J65" s="5"/>
      <c r="L65" s="5"/>
      <c r="M65" s="5"/>
      <c r="N65" s="5"/>
    </row>
    <row r="66" spans="4:14" ht="15">
      <c r="D66" s="5"/>
      <c r="E66" s="6"/>
      <c r="F66" s="6"/>
      <c r="G66" s="5"/>
      <c r="H66" s="5"/>
      <c r="I66" s="5"/>
      <c r="J66" s="5"/>
      <c r="L66" s="5"/>
      <c r="M66" s="5"/>
      <c r="N66" s="5"/>
    </row>
    <row r="67" spans="4:14" ht="15">
      <c r="D67" s="5"/>
      <c r="E67" s="6"/>
      <c r="F67" s="6"/>
      <c r="G67" s="5"/>
      <c r="H67" s="5"/>
      <c r="I67" s="5"/>
      <c r="J67" s="5"/>
      <c r="L67" s="5"/>
      <c r="M67" s="5"/>
      <c r="N67" s="5"/>
    </row>
    <row r="68" spans="4:14" ht="15.75">
      <c r="D68" s="5"/>
      <c r="E68" s="6"/>
      <c r="F68" s="6"/>
      <c r="G68" s="5"/>
      <c r="H68" s="5"/>
      <c r="I68" s="5"/>
      <c r="J68" s="5"/>
      <c r="L68" s="5"/>
      <c r="M68" s="5"/>
      <c r="N68" s="5"/>
    </row>
    <row r="69" spans="4:14" ht="15.75">
      <c r="D69" s="5"/>
      <c r="E69" s="6"/>
      <c r="F69" s="6"/>
      <c r="G69" s="5"/>
      <c r="H69" s="5"/>
      <c r="I69" s="5"/>
      <c r="J69" s="5"/>
      <c r="L69" s="5"/>
      <c r="M69" s="5"/>
      <c r="N69" s="5"/>
    </row>
    <row r="70" spans="4:14" ht="15.75">
      <c r="D70" s="5"/>
      <c r="E70" s="6"/>
      <c r="F70" s="6"/>
      <c r="G70" s="5"/>
      <c r="H70" s="5"/>
      <c r="I70" s="5"/>
      <c r="J70" s="5"/>
      <c r="L70" s="5"/>
      <c r="M70" s="5"/>
      <c r="N70" s="5"/>
    </row>
    <row r="71" spans="4:14" ht="15.75">
      <c r="D71" s="5"/>
      <c r="E71" s="6"/>
      <c r="F71" s="6"/>
      <c r="G71" s="5"/>
      <c r="H71" s="5"/>
      <c r="I71" s="5"/>
      <c r="J71" s="5"/>
      <c r="L71" s="5"/>
      <c r="M71" s="5"/>
      <c r="N71" s="5"/>
    </row>
    <row r="72" spans="4:14" ht="15.75">
      <c r="D72" s="5"/>
      <c r="E72" s="6"/>
      <c r="F72" s="6"/>
      <c r="G72" s="5"/>
      <c r="H72" s="5"/>
      <c r="I72" s="5"/>
      <c r="J72" s="5"/>
      <c r="L72" s="5"/>
      <c r="M72" s="5"/>
      <c r="N72" s="5"/>
    </row>
    <row r="73" spans="4:14" ht="15.75">
      <c r="D73" s="5"/>
      <c r="E73" s="6"/>
      <c r="F73" s="6"/>
      <c r="G73" s="5"/>
      <c r="H73" s="5"/>
      <c r="I73" s="5"/>
      <c r="J73" s="5"/>
      <c r="L73" s="5"/>
      <c r="M73" s="5"/>
      <c r="N73" s="5"/>
    </row>
  </sheetData>
  <sheetProtection/>
  <printOptions gridLines="1"/>
  <pageMargins left="0.75" right="0.75" top="1" bottom="1" header="0.5" footer="0.5"/>
  <pageSetup fitToWidth="2" fitToHeight="1" orientation="landscape" paperSize="9" scale="72"/>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Q61"/>
  <sheetViews>
    <sheetView zoomScale="75" zoomScaleNormal="75" zoomScalePageLayoutView="0" workbookViewId="0" topLeftCell="A1">
      <pane xSplit="1" topLeftCell="B1" activePane="topRight" state="frozen"/>
      <selection pane="topLeft" activeCell="AJ35" sqref="AJ35:BF35"/>
      <selection pane="topRight" activeCell="J13" sqref="J13"/>
    </sheetView>
  </sheetViews>
  <sheetFormatPr defaultColWidth="8.8984375" defaultRowHeight="15"/>
  <cols>
    <col min="1" max="1" width="14" style="0" customWidth="1"/>
    <col min="2" max="2" width="17.5" style="0" bestFit="1" customWidth="1"/>
    <col min="3" max="3" width="36" style="0" bestFit="1" customWidth="1"/>
    <col min="4" max="4" width="24" style="0" bestFit="1" customWidth="1"/>
    <col min="5" max="7" width="8.8984375" style="80" customWidth="1"/>
    <col min="8" max="59" width="8.8984375" style="0" customWidth="1"/>
    <col min="60" max="60" width="8.8984375" style="80" customWidth="1"/>
    <col min="61" max="63" width="8.8984375" style="0" customWidth="1"/>
    <col min="64" max="64" width="8.8984375" style="80" customWidth="1"/>
  </cols>
  <sheetData>
    <row r="1" spans="1:69" ht="15.75">
      <c r="A1" s="1" t="s">
        <v>196</v>
      </c>
      <c r="B1" s="1"/>
      <c r="C1" s="1"/>
      <c r="D1" s="1"/>
      <c r="E1" s="73"/>
      <c r="F1" s="73"/>
      <c r="G1" s="7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73"/>
      <c r="BI1" s="1"/>
      <c r="BJ1" s="1"/>
      <c r="BK1" s="1"/>
      <c r="BL1" s="73"/>
      <c r="BM1" s="1"/>
      <c r="BN1" s="1"/>
      <c r="BO1" s="1"/>
      <c r="BP1" s="1"/>
      <c r="BQ1" s="1"/>
    </row>
    <row r="2" spans="1:69" ht="15.75">
      <c r="A2" s="15" t="s">
        <v>328</v>
      </c>
      <c r="B2" s="15"/>
      <c r="C2" s="15"/>
      <c r="D2" s="15"/>
      <c r="E2" s="74"/>
      <c r="F2" s="74"/>
      <c r="G2" s="7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74"/>
      <c r="BI2" s="15"/>
      <c r="BJ2" s="15"/>
      <c r="BK2" s="15"/>
      <c r="BL2" s="74"/>
      <c r="BM2" s="15"/>
      <c r="BN2" s="15"/>
      <c r="BO2" s="15"/>
      <c r="BP2" s="15"/>
      <c r="BQ2" s="15"/>
    </row>
    <row r="3" spans="1:69" ht="15.75">
      <c r="A3" s="43" t="s">
        <v>146</v>
      </c>
      <c r="B3" s="43"/>
      <c r="C3" s="43"/>
      <c r="D3" s="43"/>
      <c r="E3" s="75"/>
      <c r="F3" s="75"/>
      <c r="G3" s="75"/>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75"/>
      <c r="BI3" s="43"/>
      <c r="BJ3" s="43"/>
      <c r="BK3" s="43"/>
      <c r="BL3" s="75"/>
      <c r="BM3" s="43"/>
      <c r="BN3" s="43"/>
      <c r="BO3" s="43"/>
      <c r="BP3" s="43"/>
      <c r="BQ3" s="43"/>
    </row>
    <row r="4" spans="1:69" ht="15.75">
      <c r="A4" s="1" t="s">
        <v>276</v>
      </c>
      <c r="B4" s="1" t="s">
        <v>68</v>
      </c>
      <c r="C4" s="66" t="s">
        <v>69</v>
      </c>
      <c r="D4" s="66" t="s">
        <v>70</v>
      </c>
      <c r="E4" s="76" t="s">
        <v>48</v>
      </c>
      <c r="F4" s="76" t="s">
        <v>49</v>
      </c>
      <c r="G4" s="76" t="s">
        <v>50</v>
      </c>
      <c r="H4" s="58" t="s">
        <v>195</v>
      </c>
      <c r="I4" s="58" t="s">
        <v>0</v>
      </c>
      <c r="J4" s="58" t="s">
        <v>2</v>
      </c>
      <c r="K4" s="58" t="s">
        <v>117</v>
      </c>
      <c r="L4" s="58" t="s">
        <v>367</v>
      </c>
      <c r="M4" s="58" t="s">
        <v>1</v>
      </c>
      <c r="N4" s="58" t="s">
        <v>3</v>
      </c>
      <c r="O4" s="58" t="s">
        <v>98</v>
      </c>
      <c r="P4" s="58" t="s">
        <v>118</v>
      </c>
      <c r="Q4" s="58" t="s">
        <v>119</v>
      </c>
      <c r="R4" s="58" t="s">
        <v>120</v>
      </c>
      <c r="S4" s="58" t="s">
        <v>121</v>
      </c>
      <c r="T4" s="58" t="s">
        <v>122</v>
      </c>
      <c r="U4" s="58" t="s">
        <v>123</v>
      </c>
      <c r="V4" s="58" t="s">
        <v>124</v>
      </c>
      <c r="W4" s="58" t="s">
        <v>125</v>
      </c>
      <c r="X4" s="58" t="s">
        <v>126</v>
      </c>
      <c r="Y4" s="58" t="s">
        <v>127</v>
      </c>
      <c r="Z4" s="58" t="s">
        <v>128</v>
      </c>
      <c r="AA4" s="58" t="s">
        <v>129</v>
      </c>
      <c r="AB4" s="58" t="s">
        <v>130</v>
      </c>
      <c r="AC4" s="58" t="s">
        <v>131</v>
      </c>
      <c r="AD4" s="58" t="s">
        <v>132</v>
      </c>
      <c r="AE4" s="58" t="s">
        <v>133</v>
      </c>
      <c r="AF4" s="58" t="s">
        <v>134</v>
      </c>
      <c r="AG4" s="58" t="s">
        <v>135</v>
      </c>
      <c r="AH4" s="58" t="s">
        <v>136</v>
      </c>
      <c r="AI4" s="58" t="s">
        <v>137</v>
      </c>
      <c r="AJ4" s="58" t="s">
        <v>138</v>
      </c>
      <c r="AK4" s="58" t="s">
        <v>203</v>
      </c>
      <c r="AL4" s="58" t="s">
        <v>204</v>
      </c>
      <c r="AM4" s="58" t="s">
        <v>205</v>
      </c>
      <c r="AN4" s="58" t="s">
        <v>206</v>
      </c>
      <c r="AO4" s="58" t="s">
        <v>207</v>
      </c>
      <c r="AP4" s="58" t="s">
        <v>208</v>
      </c>
      <c r="AQ4" s="58" t="s">
        <v>211</v>
      </c>
      <c r="AR4" s="58" t="s">
        <v>139</v>
      </c>
      <c r="AS4" s="58" t="s">
        <v>210</v>
      </c>
      <c r="AT4" s="58" t="s">
        <v>209</v>
      </c>
      <c r="AU4" s="58" t="s">
        <v>202</v>
      </c>
      <c r="AV4" s="58" t="s">
        <v>201</v>
      </c>
      <c r="AW4" s="58" t="s">
        <v>199</v>
      </c>
      <c r="AX4" s="58" t="s">
        <v>197</v>
      </c>
      <c r="AY4" s="58" t="s">
        <v>99</v>
      </c>
      <c r="AZ4" s="58" t="s">
        <v>200</v>
      </c>
      <c r="BA4" s="58" t="s">
        <v>198</v>
      </c>
      <c r="BB4" s="58" t="s">
        <v>218</v>
      </c>
      <c r="BC4" s="58" t="s">
        <v>219</v>
      </c>
      <c r="BD4" s="58" t="s">
        <v>216</v>
      </c>
      <c r="BE4" s="58" t="s">
        <v>215</v>
      </c>
      <c r="BF4" s="58" t="s">
        <v>217</v>
      </c>
      <c r="BG4" s="58" t="s">
        <v>307</v>
      </c>
      <c r="BH4" s="76" t="s">
        <v>140</v>
      </c>
      <c r="BI4" s="58" t="s">
        <v>306</v>
      </c>
      <c r="BJ4" s="58" t="s">
        <v>213</v>
      </c>
      <c r="BK4" s="58" t="s">
        <v>214</v>
      </c>
      <c r="BL4" s="76" t="s">
        <v>212</v>
      </c>
      <c r="BM4" s="58" t="s">
        <v>309</v>
      </c>
      <c r="BN4" s="58" t="s">
        <v>308</v>
      </c>
      <c r="BO4" s="58" t="s">
        <v>141</v>
      </c>
      <c r="BP4" s="58" t="s">
        <v>177</v>
      </c>
      <c r="BQ4" s="58" t="s">
        <v>176</v>
      </c>
    </row>
    <row r="5" spans="1:69" ht="15.75">
      <c r="A5" s="18"/>
      <c r="B5" s="18"/>
      <c r="C5" s="18"/>
      <c r="D5" s="18"/>
      <c r="E5" s="153"/>
      <c r="F5" s="154"/>
      <c r="G5" s="154"/>
      <c r="H5" s="155"/>
      <c r="I5" s="155"/>
      <c r="J5" s="155"/>
      <c r="K5" s="155"/>
      <c r="L5" s="155"/>
      <c r="M5" s="155"/>
      <c r="N5" s="155"/>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3"/>
      <c r="BI5" s="162"/>
      <c r="BJ5" s="162"/>
      <c r="BK5" s="162"/>
      <c r="BL5" s="163"/>
      <c r="BM5" s="162"/>
      <c r="BN5" s="162"/>
      <c r="BO5" s="162"/>
      <c r="BP5" s="155"/>
      <c r="BQ5" s="156"/>
    </row>
    <row r="6" spans="1:69" ht="15.75">
      <c r="A6" s="18" t="s">
        <v>627</v>
      </c>
      <c r="B6" s="18" t="s">
        <v>626</v>
      </c>
      <c r="C6" s="18" t="s">
        <v>35</v>
      </c>
      <c r="D6" s="18" t="s">
        <v>300</v>
      </c>
      <c r="E6" s="81"/>
      <c r="F6" s="77"/>
      <c r="G6" s="77"/>
      <c r="H6" s="61"/>
      <c r="I6" s="61"/>
      <c r="J6" s="61"/>
      <c r="K6" s="61"/>
      <c r="L6" s="61"/>
      <c r="M6" s="61"/>
      <c r="N6" s="61"/>
      <c r="O6" s="61"/>
      <c r="P6" s="61">
        <v>8</v>
      </c>
      <c r="Q6" s="61">
        <v>13</v>
      </c>
      <c r="R6" s="61">
        <v>5</v>
      </c>
      <c r="S6" s="61">
        <v>5</v>
      </c>
      <c r="T6" s="61">
        <v>2</v>
      </c>
      <c r="U6" s="61">
        <v>2</v>
      </c>
      <c r="V6" s="61">
        <v>5.375</v>
      </c>
      <c r="W6" s="61">
        <v>1</v>
      </c>
      <c r="X6" s="61"/>
      <c r="Y6" s="61"/>
      <c r="Z6" s="61">
        <v>2</v>
      </c>
      <c r="AA6" s="61">
        <v>2</v>
      </c>
      <c r="AB6" s="61">
        <v>5</v>
      </c>
      <c r="AC6" s="61">
        <v>10</v>
      </c>
      <c r="AD6" s="61">
        <v>7</v>
      </c>
      <c r="AE6" s="61">
        <v>3</v>
      </c>
      <c r="AF6" s="61">
        <v>6</v>
      </c>
      <c r="AG6" s="61">
        <v>2.5</v>
      </c>
      <c r="AH6" s="61">
        <v>6</v>
      </c>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77"/>
      <c r="BI6" s="61"/>
      <c r="BJ6" s="61"/>
      <c r="BK6" s="61"/>
      <c r="BL6" s="77"/>
      <c r="BM6" s="61"/>
      <c r="BN6" s="61"/>
      <c r="BO6" s="61"/>
      <c r="BP6" s="61"/>
      <c r="BQ6" s="62"/>
    </row>
    <row r="7" spans="1:69" ht="15.75">
      <c r="A7" s="18" t="s">
        <v>148</v>
      </c>
      <c r="B7" s="18" t="s">
        <v>220</v>
      </c>
      <c r="C7" s="18" t="s">
        <v>35</v>
      </c>
      <c r="D7" s="18" t="s">
        <v>300</v>
      </c>
      <c r="E7" s="81"/>
      <c r="F7" s="77"/>
      <c r="G7" s="77"/>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v>6</v>
      </c>
      <c r="AJ7" s="61">
        <v>3</v>
      </c>
      <c r="AK7" s="61"/>
      <c r="AL7" s="61"/>
      <c r="AM7" s="61"/>
      <c r="AN7" s="61"/>
      <c r="AO7" s="61"/>
      <c r="AP7" s="61"/>
      <c r="AQ7" s="61"/>
      <c r="AR7" s="61"/>
      <c r="AS7" s="61"/>
      <c r="AT7" s="61"/>
      <c r="AU7" s="61"/>
      <c r="AV7" s="61"/>
      <c r="AW7" s="61"/>
      <c r="AX7" s="61"/>
      <c r="AY7" s="61"/>
      <c r="AZ7" s="61"/>
      <c r="BA7" s="61"/>
      <c r="BB7" s="61"/>
      <c r="BC7" s="61"/>
      <c r="BD7" s="61"/>
      <c r="BE7" s="61"/>
      <c r="BF7" s="61"/>
      <c r="BG7" s="61"/>
      <c r="BH7" s="77"/>
      <c r="BI7" s="61"/>
      <c r="BJ7" s="61"/>
      <c r="BK7" s="61"/>
      <c r="BL7" s="77"/>
      <c r="BM7" s="61"/>
      <c r="BN7" s="61"/>
      <c r="BO7" s="61"/>
      <c r="BP7" s="61"/>
      <c r="BQ7" s="62"/>
    </row>
    <row r="8" spans="1:69" ht="15.75">
      <c r="A8" s="18" t="s">
        <v>278</v>
      </c>
      <c r="B8" s="18" t="s">
        <v>221</v>
      </c>
      <c r="C8" s="18" t="s">
        <v>36</v>
      </c>
      <c r="D8" s="18" t="s">
        <v>301</v>
      </c>
      <c r="E8" s="81"/>
      <c r="F8" s="77"/>
      <c r="G8" s="77"/>
      <c r="H8" s="61"/>
      <c r="I8" s="61"/>
      <c r="J8" s="61"/>
      <c r="K8" s="61"/>
      <c r="L8" s="61"/>
      <c r="M8" s="61"/>
      <c r="N8" s="61"/>
      <c r="O8" s="61"/>
      <c r="P8" s="61"/>
      <c r="Q8" s="61"/>
      <c r="R8" s="61"/>
      <c r="S8" s="61"/>
      <c r="T8" s="61"/>
      <c r="U8" s="61"/>
      <c r="V8" s="61"/>
      <c r="W8" s="61"/>
      <c r="X8" s="61">
        <v>21</v>
      </c>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77"/>
      <c r="BI8" s="61"/>
      <c r="BJ8" s="61"/>
      <c r="BK8" s="61"/>
      <c r="BL8" s="77"/>
      <c r="BM8" s="61"/>
      <c r="BN8" s="61"/>
      <c r="BO8" s="61"/>
      <c r="BP8" s="61"/>
      <c r="BQ8" s="62"/>
    </row>
    <row r="9" spans="1:69" ht="15.75">
      <c r="A9" s="18" t="s">
        <v>279</v>
      </c>
      <c r="B9" s="18" t="s">
        <v>243</v>
      </c>
      <c r="C9" s="18" t="s">
        <v>36</v>
      </c>
      <c r="D9" s="18" t="s">
        <v>302</v>
      </c>
      <c r="E9" s="81">
        <v>16.5</v>
      </c>
      <c r="F9" s="77">
        <v>9.6</v>
      </c>
      <c r="G9" s="77">
        <v>13.75</v>
      </c>
      <c r="H9" s="61">
        <v>3.25</v>
      </c>
      <c r="I9" s="61"/>
      <c r="J9" s="61"/>
      <c r="K9" s="61"/>
      <c r="L9" s="61"/>
      <c r="M9" s="61"/>
      <c r="N9" s="61"/>
      <c r="O9" s="61"/>
      <c r="P9" s="61">
        <v>19</v>
      </c>
      <c r="Q9" s="61">
        <v>20</v>
      </c>
      <c r="R9" s="61">
        <v>21</v>
      </c>
      <c r="S9" s="61">
        <v>22</v>
      </c>
      <c r="T9" s="61">
        <v>20</v>
      </c>
      <c r="U9" s="61">
        <v>11</v>
      </c>
      <c r="V9" s="61">
        <v>10.5</v>
      </c>
      <c r="W9" s="61">
        <v>18</v>
      </c>
      <c r="X9" s="61"/>
      <c r="Y9" s="61">
        <v>20</v>
      </c>
      <c r="Z9" s="61">
        <v>8</v>
      </c>
      <c r="AA9" s="61"/>
      <c r="AB9" s="61">
        <v>18</v>
      </c>
      <c r="AC9" s="61"/>
      <c r="AD9" s="61"/>
      <c r="AE9" s="61"/>
      <c r="AF9" s="61"/>
      <c r="AG9" s="61"/>
      <c r="AH9" s="61"/>
      <c r="AI9" s="61"/>
      <c r="AJ9" s="61"/>
      <c r="AK9" s="61"/>
      <c r="AL9" s="61"/>
      <c r="AM9" s="61"/>
      <c r="AN9" s="61">
        <v>1.601286916687807</v>
      </c>
      <c r="AO9" s="61">
        <v>1.6030482627822786</v>
      </c>
      <c r="AP9" s="61">
        <v>1.6375520667328811</v>
      </c>
      <c r="AQ9" s="61">
        <v>1.6351023957569606</v>
      </c>
      <c r="AR9" s="61"/>
      <c r="AS9" s="61"/>
      <c r="AT9" s="61"/>
      <c r="AU9" s="61"/>
      <c r="AV9" s="61"/>
      <c r="AW9" s="61"/>
      <c r="AX9" s="61"/>
      <c r="AY9" s="61"/>
      <c r="AZ9" s="61"/>
      <c r="BA9" s="61"/>
      <c r="BB9" s="61"/>
      <c r="BC9" s="61"/>
      <c r="BD9" s="61"/>
      <c r="BE9" s="61"/>
      <c r="BF9" s="61"/>
      <c r="BG9" s="61"/>
      <c r="BH9" s="77"/>
      <c r="BI9" s="61"/>
      <c r="BJ9" s="61"/>
      <c r="BK9" s="61"/>
      <c r="BL9" s="77"/>
      <c r="BM9" s="61"/>
      <c r="BN9" s="61"/>
      <c r="BO9" s="61"/>
      <c r="BP9" s="61"/>
      <c r="BQ9" s="62"/>
    </row>
    <row r="10" spans="1:69" ht="15.75">
      <c r="A10" s="18" t="s">
        <v>158</v>
      </c>
      <c r="B10" s="18" t="s">
        <v>244</v>
      </c>
      <c r="C10" s="18" t="s">
        <v>37</v>
      </c>
      <c r="D10" s="18" t="s">
        <v>303</v>
      </c>
      <c r="E10" s="81">
        <v>38.5</v>
      </c>
      <c r="F10" s="77">
        <v>38.4</v>
      </c>
      <c r="G10" s="77">
        <v>41.25</v>
      </c>
      <c r="H10" s="61">
        <v>9.75</v>
      </c>
      <c r="I10" s="61"/>
      <c r="J10" s="61"/>
      <c r="K10" s="61"/>
      <c r="L10" s="61"/>
      <c r="M10" s="61"/>
      <c r="N10" s="61"/>
      <c r="O10" s="61"/>
      <c r="P10" s="61"/>
      <c r="Q10" s="61"/>
      <c r="R10" s="61"/>
      <c r="S10" s="61"/>
      <c r="T10" s="61"/>
      <c r="U10" s="61">
        <v>6</v>
      </c>
      <c r="V10" s="61"/>
      <c r="W10" s="61">
        <v>18</v>
      </c>
      <c r="X10" s="61">
        <v>21</v>
      </c>
      <c r="Y10" s="61">
        <v>15</v>
      </c>
      <c r="Z10" s="61"/>
      <c r="AA10" s="61"/>
      <c r="AB10" s="61"/>
      <c r="AC10" s="61"/>
      <c r="AD10" s="61"/>
      <c r="AE10" s="61"/>
      <c r="AF10" s="61"/>
      <c r="AG10" s="61"/>
      <c r="AH10" s="61"/>
      <c r="AI10" s="61"/>
      <c r="AJ10" s="61"/>
      <c r="AK10" s="61"/>
      <c r="AL10" s="61"/>
      <c r="AM10" s="61"/>
      <c r="AN10" s="61">
        <v>9.836476773939387</v>
      </c>
      <c r="AO10" s="61">
        <v>9.847296471376856</v>
      </c>
      <c r="AP10" s="61">
        <v>10.059248409930557</v>
      </c>
      <c r="AQ10" s="61">
        <v>10.044200431078472</v>
      </c>
      <c r="AR10" s="61"/>
      <c r="AS10" s="61"/>
      <c r="AT10" s="61"/>
      <c r="AU10" s="61"/>
      <c r="AV10" s="61"/>
      <c r="AW10" s="61"/>
      <c r="AX10" s="61"/>
      <c r="AY10" s="61"/>
      <c r="AZ10" s="61"/>
      <c r="BA10" s="61"/>
      <c r="BB10" s="61"/>
      <c r="BC10" s="61"/>
      <c r="BD10" s="61"/>
      <c r="BE10" s="61"/>
      <c r="BF10" s="61"/>
      <c r="BG10" s="61"/>
      <c r="BH10" s="77"/>
      <c r="BI10" s="61"/>
      <c r="BJ10" s="61"/>
      <c r="BK10" s="61"/>
      <c r="BL10" s="77"/>
      <c r="BM10" s="61"/>
      <c r="BN10" s="61"/>
      <c r="BO10" s="61"/>
      <c r="BP10" s="61"/>
      <c r="BQ10" s="62"/>
    </row>
    <row r="11" spans="1:69" ht="15.75">
      <c r="A11" s="18" t="s">
        <v>275</v>
      </c>
      <c r="B11" s="18" t="s">
        <v>245</v>
      </c>
      <c r="C11" s="18" t="s">
        <v>38</v>
      </c>
      <c r="D11" s="18" t="s">
        <v>304</v>
      </c>
      <c r="E11" s="81"/>
      <c r="F11" s="77"/>
      <c r="G11" s="77"/>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77"/>
      <c r="BI11" s="61"/>
      <c r="BJ11" s="61"/>
      <c r="BK11" s="61"/>
      <c r="BL11" s="77"/>
      <c r="BM11" s="61"/>
      <c r="BN11" s="61"/>
      <c r="BO11" s="61"/>
      <c r="BP11" s="61"/>
      <c r="BQ11" s="62"/>
    </row>
    <row r="12" spans="1:69" ht="15.75">
      <c r="A12" s="18" t="s">
        <v>281</v>
      </c>
      <c r="B12" s="18" t="s">
        <v>5</v>
      </c>
      <c r="C12" s="18" t="s">
        <v>38</v>
      </c>
      <c r="D12" s="18" t="s">
        <v>305</v>
      </c>
      <c r="E12" s="81"/>
      <c r="F12" s="77"/>
      <c r="G12" s="77"/>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77"/>
      <c r="BI12" s="61"/>
      <c r="BJ12" s="61"/>
      <c r="BK12" s="61"/>
      <c r="BL12" s="77"/>
      <c r="BM12" s="61"/>
      <c r="BN12" s="61"/>
      <c r="BO12" s="61"/>
      <c r="BP12" s="61"/>
      <c r="BQ12" s="62"/>
    </row>
    <row r="13" spans="1:69" ht="15.75">
      <c r="A13" s="18" t="s">
        <v>159</v>
      </c>
      <c r="B13" s="18" t="s">
        <v>6</v>
      </c>
      <c r="C13" s="18" t="s">
        <v>39</v>
      </c>
      <c r="D13" s="18" t="s">
        <v>55</v>
      </c>
      <c r="E13" s="81"/>
      <c r="F13" s="77"/>
      <c r="G13" s="77"/>
      <c r="H13" s="61"/>
      <c r="I13" s="61"/>
      <c r="J13" s="61">
        <v>2.1</v>
      </c>
      <c r="K13" s="61"/>
      <c r="L13" s="61"/>
      <c r="M13" s="61"/>
      <c r="N13" s="61">
        <v>0.7</v>
      </c>
      <c r="O13" s="61"/>
      <c r="P13" s="61"/>
      <c r="Q13" s="61"/>
      <c r="R13" s="61"/>
      <c r="S13" s="61"/>
      <c r="T13" s="61"/>
      <c r="U13" s="61">
        <v>11</v>
      </c>
      <c r="V13" s="61">
        <v>7.44375</v>
      </c>
      <c r="W13" s="61"/>
      <c r="X13" s="61"/>
      <c r="Y13" s="61">
        <v>5</v>
      </c>
      <c r="Z13" s="61"/>
      <c r="AA13" s="61"/>
      <c r="AB13" s="61"/>
      <c r="AC13" s="61"/>
      <c r="AD13" s="61">
        <v>17</v>
      </c>
      <c r="AE13" s="61">
        <v>17</v>
      </c>
      <c r="AF13" s="61">
        <v>18.054000000000002</v>
      </c>
      <c r="AG13" s="61">
        <v>8</v>
      </c>
      <c r="AH13" s="61">
        <v>18</v>
      </c>
      <c r="AI13" s="61">
        <v>18</v>
      </c>
      <c r="AJ13" s="61">
        <v>19</v>
      </c>
      <c r="AK13" s="61"/>
      <c r="AL13" s="61"/>
      <c r="AM13" s="61"/>
      <c r="AN13" s="61"/>
      <c r="AO13" s="61"/>
      <c r="AP13" s="61"/>
      <c r="AQ13" s="61"/>
      <c r="AR13" s="61"/>
      <c r="AS13" s="61">
        <v>3.2494322406550595</v>
      </c>
      <c r="AT13" s="61">
        <v>4.076667069932601</v>
      </c>
      <c r="AU13" s="61"/>
      <c r="AV13" s="61"/>
      <c r="AW13" s="61"/>
      <c r="AX13" s="61"/>
      <c r="AY13" s="61"/>
      <c r="AZ13" s="61"/>
      <c r="BA13" s="61">
        <v>5.189119274908131</v>
      </c>
      <c r="BB13" s="61"/>
      <c r="BC13" s="61"/>
      <c r="BD13" s="61"/>
      <c r="BE13" s="61"/>
      <c r="BF13" s="61"/>
      <c r="BG13" s="61">
        <v>0.5849546547885145</v>
      </c>
      <c r="BH13" s="77"/>
      <c r="BI13" s="61"/>
      <c r="BJ13" s="61"/>
      <c r="BK13" s="61"/>
      <c r="BL13" s="77">
        <v>1.4681735471145685</v>
      </c>
      <c r="BM13" s="61"/>
      <c r="BN13" s="61"/>
      <c r="BO13" s="61"/>
      <c r="BP13" s="61"/>
      <c r="BQ13" s="62"/>
    </row>
    <row r="14" spans="1:69" ht="15.75">
      <c r="A14" s="18" t="s">
        <v>331</v>
      </c>
      <c r="B14" s="18" t="s">
        <v>7</v>
      </c>
      <c r="C14" s="18" t="s">
        <v>40</v>
      </c>
      <c r="D14" s="18" t="s">
        <v>54</v>
      </c>
      <c r="E14" s="81"/>
      <c r="F14" s="77"/>
      <c r="G14" s="77"/>
      <c r="H14" s="61"/>
      <c r="I14" s="61"/>
      <c r="J14" s="61">
        <v>1.1</v>
      </c>
      <c r="K14" s="61"/>
      <c r="L14" s="61"/>
      <c r="M14" s="61"/>
      <c r="N14" s="61">
        <v>0.5</v>
      </c>
      <c r="O14" s="61"/>
      <c r="P14" s="61"/>
      <c r="Q14" s="61"/>
      <c r="R14" s="61"/>
      <c r="S14" s="61"/>
      <c r="T14" s="61"/>
      <c r="U14" s="61">
        <v>8</v>
      </c>
      <c r="V14" s="61">
        <v>2.61125</v>
      </c>
      <c r="W14" s="61"/>
      <c r="X14" s="61"/>
      <c r="Y14" s="61">
        <v>13</v>
      </c>
      <c r="Z14" s="61"/>
      <c r="AA14" s="61"/>
      <c r="AB14" s="61"/>
      <c r="AC14" s="61"/>
      <c r="AD14" s="61">
        <v>7</v>
      </c>
      <c r="AE14" s="61">
        <v>15</v>
      </c>
      <c r="AF14" s="61">
        <v>8</v>
      </c>
      <c r="AG14" s="61">
        <v>7.5</v>
      </c>
      <c r="AH14" s="61">
        <v>13</v>
      </c>
      <c r="AI14" s="61">
        <v>13</v>
      </c>
      <c r="AJ14" s="61">
        <v>14</v>
      </c>
      <c r="AK14" s="61"/>
      <c r="AL14" s="61"/>
      <c r="AM14" s="61"/>
      <c r="AN14" s="61"/>
      <c r="AO14" s="61"/>
      <c r="AP14" s="61"/>
      <c r="AQ14" s="61"/>
      <c r="AR14" s="61"/>
      <c r="AS14" s="61">
        <v>1.3539301002729414</v>
      </c>
      <c r="AT14" s="61">
        <v>1.6986112791385832</v>
      </c>
      <c r="AU14" s="61"/>
      <c r="AV14" s="61"/>
      <c r="AW14" s="61"/>
      <c r="AX14" s="61"/>
      <c r="AY14" s="61"/>
      <c r="AZ14" s="61"/>
      <c r="BA14" s="61">
        <v>2.1621330312117215</v>
      </c>
      <c r="BB14" s="61"/>
      <c r="BC14" s="61"/>
      <c r="BD14" s="61"/>
      <c r="BE14" s="61"/>
      <c r="BF14" s="61"/>
      <c r="BG14" s="61">
        <v>0.24373110616188107</v>
      </c>
      <c r="BH14" s="77"/>
      <c r="BI14" s="61"/>
      <c r="BJ14" s="61"/>
      <c r="BK14" s="61"/>
      <c r="BL14" s="77">
        <v>0.6117389779644036</v>
      </c>
      <c r="BM14" s="61"/>
      <c r="BN14" s="61"/>
      <c r="BO14" s="61"/>
      <c r="BP14" s="61"/>
      <c r="BQ14" s="62"/>
    </row>
    <row r="15" spans="1:69" ht="15.75">
      <c r="A15" s="18" t="s">
        <v>164</v>
      </c>
      <c r="B15" s="18" t="s">
        <v>8</v>
      </c>
      <c r="C15" s="18" t="s">
        <v>41</v>
      </c>
      <c r="D15" s="18" t="s">
        <v>53</v>
      </c>
      <c r="E15" s="81"/>
      <c r="F15" s="77"/>
      <c r="G15" s="77"/>
      <c r="H15" s="61"/>
      <c r="I15" s="61"/>
      <c r="J15" s="61">
        <v>10.8</v>
      </c>
      <c r="K15" s="61"/>
      <c r="L15" s="61"/>
      <c r="M15" s="61"/>
      <c r="N15" s="61">
        <v>5.4</v>
      </c>
      <c r="O15" s="61"/>
      <c r="P15" s="61"/>
      <c r="Q15" s="61"/>
      <c r="R15" s="61"/>
      <c r="S15" s="61"/>
      <c r="T15" s="61"/>
      <c r="U15" s="61">
        <v>3</v>
      </c>
      <c r="V15" s="61">
        <v>1.195</v>
      </c>
      <c r="W15" s="61"/>
      <c r="X15" s="61"/>
      <c r="Y15" s="61">
        <v>10</v>
      </c>
      <c r="Z15" s="61"/>
      <c r="AA15" s="61"/>
      <c r="AB15" s="61"/>
      <c r="AC15" s="61"/>
      <c r="AD15" s="61">
        <v>8</v>
      </c>
      <c r="AE15" s="61">
        <v>7</v>
      </c>
      <c r="AF15" s="61">
        <v>8</v>
      </c>
      <c r="AG15" s="61">
        <v>3.72891156462585</v>
      </c>
      <c r="AH15" s="61">
        <v>11</v>
      </c>
      <c r="AI15" s="61">
        <v>11</v>
      </c>
      <c r="AJ15" s="61">
        <v>12</v>
      </c>
      <c r="AK15" s="61"/>
      <c r="AL15" s="61"/>
      <c r="AM15" s="61"/>
      <c r="AN15" s="61"/>
      <c r="AO15" s="61"/>
      <c r="AP15" s="61"/>
      <c r="AQ15" s="61"/>
      <c r="AR15" s="61"/>
      <c r="AS15" s="61">
        <v>8.935938661801414</v>
      </c>
      <c r="AT15" s="61">
        <v>11.21083444231465</v>
      </c>
      <c r="AU15" s="61"/>
      <c r="AV15" s="61"/>
      <c r="AW15" s="61"/>
      <c r="AX15" s="61"/>
      <c r="AY15" s="61"/>
      <c r="AZ15" s="61"/>
      <c r="BA15" s="61">
        <v>14.27007800599736</v>
      </c>
      <c r="BB15" s="61"/>
      <c r="BC15" s="61"/>
      <c r="BD15" s="61"/>
      <c r="BE15" s="61"/>
      <c r="BF15" s="61"/>
      <c r="BG15" s="61">
        <v>1.608625300668415</v>
      </c>
      <c r="BH15" s="77"/>
      <c r="BI15" s="61"/>
      <c r="BJ15" s="61"/>
      <c r="BK15" s="61"/>
      <c r="BL15" s="77">
        <v>4.037477254565064</v>
      </c>
      <c r="BM15" s="61"/>
      <c r="BN15" s="61"/>
      <c r="BO15" s="61"/>
      <c r="BP15" s="61"/>
      <c r="BQ15" s="62"/>
    </row>
    <row r="16" spans="1:69" ht="15.75">
      <c r="A16" s="18" t="s">
        <v>162</v>
      </c>
      <c r="B16" s="18" t="s">
        <v>9</v>
      </c>
      <c r="C16" s="18" t="s">
        <v>42</v>
      </c>
      <c r="D16" s="18" t="s">
        <v>52</v>
      </c>
      <c r="E16" s="81">
        <v>1</v>
      </c>
      <c r="F16" s="77">
        <v>7.5</v>
      </c>
      <c r="G16" s="77">
        <v>7.5</v>
      </c>
      <c r="H16" s="61">
        <v>31.5</v>
      </c>
      <c r="I16" s="61">
        <f>0.88*15</f>
        <v>13.2</v>
      </c>
      <c r="J16" s="61">
        <v>54.5</v>
      </c>
      <c r="K16" s="61">
        <v>45.40559942569993</v>
      </c>
      <c r="L16" s="61">
        <v>67.044</v>
      </c>
      <c r="M16" s="61">
        <v>72.48</v>
      </c>
      <c r="N16" s="61">
        <v>61.7</v>
      </c>
      <c r="O16" s="61">
        <v>90</v>
      </c>
      <c r="P16" s="61"/>
      <c r="Q16" s="61"/>
      <c r="R16" s="61"/>
      <c r="S16" s="61"/>
      <c r="T16" s="61"/>
      <c r="U16" s="61"/>
      <c r="V16" s="61"/>
      <c r="W16" s="61"/>
      <c r="X16" s="61"/>
      <c r="Y16" s="61"/>
      <c r="Z16" s="61"/>
      <c r="AA16" s="61"/>
      <c r="AB16" s="61"/>
      <c r="AC16" s="61"/>
      <c r="AD16" s="61"/>
      <c r="AE16" s="61"/>
      <c r="AF16" s="61"/>
      <c r="AG16" s="61"/>
      <c r="AH16" s="61"/>
      <c r="AI16" s="61"/>
      <c r="AJ16" s="61"/>
      <c r="AK16" s="61">
        <v>48.0202952353427</v>
      </c>
      <c r="AL16" s="61">
        <v>44.33529750878868</v>
      </c>
      <c r="AM16" s="61">
        <v>46.670062602251924</v>
      </c>
      <c r="AN16" s="61">
        <v>54.116870260968405</v>
      </c>
      <c r="AO16" s="61">
        <v>53.06012456370655</v>
      </c>
      <c r="AP16" s="61">
        <v>52.45372629477241</v>
      </c>
      <c r="AQ16" s="61">
        <v>53.893382392623145</v>
      </c>
      <c r="AR16" s="61">
        <v>45.820684023270836</v>
      </c>
      <c r="AS16" s="61">
        <v>50.98318118782943</v>
      </c>
      <c r="AT16" s="61">
        <v>51.16991288962709</v>
      </c>
      <c r="AU16" s="61">
        <v>34.14967549730203</v>
      </c>
      <c r="AV16" s="61">
        <v>20.905059790565215</v>
      </c>
      <c r="AW16" s="61">
        <v>31.929046665192818</v>
      </c>
      <c r="AX16" s="61"/>
      <c r="AY16" s="61"/>
      <c r="AZ16" s="61"/>
      <c r="BA16" s="61">
        <v>51.42102670405033</v>
      </c>
      <c r="BB16" s="61">
        <v>67.88849302589531</v>
      </c>
      <c r="BC16" s="61">
        <v>66.60239339696315</v>
      </c>
      <c r="BD16" s="61"/>
      <c r="BE16" s="61"/>
      <c r="BF16" s="61">
        <v>45.072437292839936</v>
      </c>
      <c r="BG16" s="61">
        <v>72.01093767940047</v>
      </c>
      <c r="BH16" s="77">
        <v>71.03638840828205</v>
      </c>
      <c r="BI16" s="61">
        <v>69.85519813466297</v>
      </c>
      <c r="BJ16" s="61"/>
      <c r="BK16" s="61">
        <v>65.45559197726107</v>
      </c>
      <c r="BL16" s="77">
        <v>72.29589708421781</v>
      </c>
      <c r="BM16" s="61">
        <v>53.13001120357501</v>
      </c>
      <c r="BN16" s="61">
        <v>49.30571089718091</v>
      </c>
      <c r="BO16" s="61"/>
      <c r="BP16" s="61"/>
      <c r="BQ16" s="62">
        <v>44.456975009199724</v>
      </c>
    </row>
    <row r="17" spans="1:69" ht="15.75">
      <c r="A17" s="18" t="s">
        <v>168</v>
      </c>
      <c r="B17" s="18" t="s">
        <v>10</v>
      </c>
      <c r="C17" s="18" t="s">
        <v>43</v>
      </c>
      <c r="D17" s="18" t="s">
        <v>51</v>
      </c>
      <c r="E17" s="81"/>
      <c r="F17" s="77">
        <v>2.5</v>
      </c>
      <c r="G17" s="77">
        <v>2.5</v>
      </c>
      <c r="H17" s="61">
        <v>3.5</v>
      </c>
      <c r="I17" s="61">
        <f>0.12*15</f>
        <v>1.7999999999999998</v>
      </c>
      <c r="J17" s="61">
        <v>6.7</v>
      </c>
      <c r="K17" s="61">
        <v>5.068198133524767</v>
      </c>
      <c r="L17" s="61">
        <v>6.956000000000004</v>
      </c>
      <c r="M17" s="61">
        <v>7.52</v>
      </c>
      <c r="N17" s="61">
        <v>5.4</v>
      </c>
      <c r="O17" s="61">
        <v>10</v>
      </c>
      <c r="P17" s="61"/>
      <c r="Q17" s="61"/>
      <c r="R17" s="61"/>
      <c r="S17" s="61"/>
      <c r="T17" s="61"/>
      <c r="U17" s="61"/>
      <c r="V17" s="61"/>
      <c r="W17" s="61"/>
      <c r="X17" s="61"/>
      <c r="Y17" s="61"/>
      <c r="Z17" s="61"/>
      <c r="AA17" s="61"/>
      <c r="AB17" s="61"/>
      <c r="AC17" s="61"/>
      <c r="AD17" s="61"/>
      <c r="AE17" s="61"/>
      <c r="AF17" s="61"/>
      <c r="AG17" s="61"/>
      <c r="AH17" s="61"/>
      <c r="AI17" s="61"/>
      <c r="AJ17" s="61"/>
      <c r="AK17" s="61"/>
      <c r="AL17" s="61">
        <v>4.926144167643186</v>
      </c>
      <c r="AM17" s="61">
        <v>5.185562511361325</v>
      </c>
      <c r="AN17" s="61">
        <v>6.012985584552045</v>
      </c>
      <c r="AO17" s="61">
        <v>5.895569395967395</v>
      </c>
      <c r="AP17" s="61">
        <v>5.828191810530268</v>
      </c>
      <c r="AQ17" s="61">
        <v>5.98815359918035</v>
      </c>
      <c r="AR17" s="61">
        <v>5.091187113696759</v>
      </c>
      <c r="AS17" s="61">
        <v>5.664797909758826</v>
      </c>
      <c r="AT17" s="61">
        <v>5.685545876625233</v>
      </c>
      <c r="AU17" s="61">
        <v>3.7944083885891144</v>
      </c>
      <c r="AV17" s="61">
        <v>2.3227844211739126</v>
      </c>
      <c r="AW17" s="61">
        <v>3.547671851688091</v>
      </c>
      <c r="AX17" s="61"/>
      <c r="AY17" s="61"/>
      <c r="AZ17" s="61"/>
      <c r="BA17" s="61">
        <v>5.713447411561148</v>
      </c>
      <c r="BB17" s="61">
        <v>7.5431658917661455</v>
      </c>
      <c r="BC17" s="61">
        <v>7.400265932995906</v>
      </c>
      <c r="BD17" s="61"/>
      <c r="BE17" s="61"/>
      <c r="BF17" s="61">
        <v>5.0080485880933265</v>
      </c>
      <c r="BG17" s="61">
        <v>8.001215297711163</v>
      </c>
      <c r="BH17" s="77">
        <v>7.892932045364672</v>
      </c>
      <c r="BI17" s="61">
        <v>7.761688681629218</v>
      </c>
      <c r="BJ17" s="61"/>
      <c r="BK17" s="61">
        <v>7.272843553029007</v>
      </c>
      <c r="BL17" s="77">
        <v>8.03287745380198</v>
      </c>
      <c r="BM17" s="61">
        <v>5.903334578175001</v>
      </c>
      <c r="BN17" s="61">
        <v>5.47841232190899</v>
      </c>
      <c r="BO17" s="61"/>
      <c r="BP17" s="61"/>
      <c r="BQ17" s="62">
        <v>4.93966388991108</v>
      </c>
    </row>
    <row r="18" spans="1:69" ht="15.75">
      <c r="A18" s="18" t="s">
        <v>161</v>
      </c>
      <c r="B18" s="18" t="s">
        <v>11</v>
      </c>
      <c r="C18" s="18" t="s">
        <v>44</v>
      </c>
      <c r="D18" s="18" t="s">
        <v>390</v>
      </c>
      <c r="E18" s="81"/>
      <c r="F18" s="77">
        <v>4.5</v>
      </c>
      <c r="G18" s="77"/>
      <c r="H18" s="61">
        <v>4</v>
      </c>
      <c r="I18" s="61"/>
      <c r="J18" s="61">
        <v>14.7</v>
      </c>
      <c r="K18" s="61">
        <v>22.483847810480977</v>
      </c>
      <c r="L18" s="61">
        <v>19.152</v>
      </c>
      <c r="M18" s="61">
        <v>18.24</v>
      </c>
      <c r="N18" s="61">
        <v>16.8</v>
      </c>
      <c r="O18" s="61"/>
      <c r="P18" s="61"/>
      <c r="Q18" s="61"/>
      <c r="R18" s="61"/>
      <c r="S18" s="61"/>
      <c r="T18" s="61"/>
      <c r="U18" s="61"/>
      <c r="V18" s="61"/>
      <c r="W18" s="61"/>
      <c r="X18" s="61">
        <v>9</v>
      </c>
      <c r="Y18" s="61">
        <v>9</v>
      </c>
      <c r="Z18" s="61"/>
      <c r="AA18" s="61"/>
      <c r="AB18" s="61"/>
      <c r="AC18" s="61"/>
      <c r="AD18" s="61"/>
      <c r="AE18" s="61"/>
      <c r="AF18" s="61">
        <v>4</v>
      </c>
      <c r="AG18" s="61"/>
      <c r="AH18" s="61"/>
      <c r="AI18" s="61"/>
      <c r="AJ18" s="61">
        <v>1</v>
      </c>
      <c r="AK18" s="61">
        <v>24.8182890724578</v>
      </c>
      <c r="AL18" s="61">
        <v>22.31078070268108</v>
      </c>
      <c r="AM18" s="61">
        <v>3.3305965738975956</v>
      </c>
      <c r="AN18" s="61">
        <v>4.9042107485176265</v>
      </c>
      <c r="AO18" s="61">
        <v>4.90960516744302</v>
      </c>
      <c r="AP18" s="61">
        <v>15.263892229877191</v>
      </c>
      <c r="AQ18" s="61">
        <v>15.241058443682098</v>
      </c>
      <c r="AR18" s="61">
        <v>22.27663312743234</v>
      </c>
      <c r="AS18" s="61">
        <v>8.99940011940985</v>
      </c>
      <c r="AT18" s="61">
        <v>5.645225903918177</v>
      </c>
      <c r="AU18" s="61"/>
      <c r="AV18" s="61"/>
      <c r="AW18" s="61">
        <v>10.452674327303093</v>
      </c>
      <c r="AX18" s="61"/>
      <c r="AY18" s="61">
        <v>29.5120187240759</v>
      </c>
      <c r="AZ18" s="61"/>
      <c r="BA18" s="61">
        <v>1.1345859141168013</v>
      </c>
      <c r="BB18" s="61"/>
      <c r="BC18" s="61"/>
      <c r="BD18" s="61">
        <v>38.63163391562564</v>
      </c>
      <c r="BE18" s="61"/>
      <c r="BF18" s="61"/>
      <c r="BG18" s="61">
        <v>15.795482365142595</v>
      </c>
      <c r="BH18" s="77">
        <v>18.192938295200616</v>
      </c>
      <c r="BI18" s="61">
        <v>18.21570732035669</v>
      </c>
      <c r="BJ18" s="61"/>
      <c r="BK18" s="61">
        <v>14.668198595480522</v>
      </c>
      <c r="BL18" s="77">
        <v>12.19845211410255</v>
      </c>
      <c r="BM18" s="61"/>
      <c r="BN18" s="61"/>
      <c r="BO18" s="61"/>
      <c r="BP18" s="61">
        <v>60.55657897882099</v>
      </c>
      <c r="BQ18" s="62">
        <v>45.54302499080029</v>
      </c>
    </row>
    <row r="19" spans="1:69" ht="15.75">
      <c r="A19" s="18" t="s">
        <v>330</v>
      </c>
      <c r="B19" s="18" t="s">
        <v>12</v>
      </c>
      <c r="C19" s="18" t="s">
        <v>45</v>
      </c>
      <c r="D19" s="18" t="s">
        <v>391</v>
      </c>
      <c r="E19" s="81"/>
      <c r="F19" s="77">
        <v>5.5</v>
      </c>
      <c r="G19" s="77"/>
      <c r="H19" s="61">
        <v>1</v>
      </c>
      <c r="I19" s="61"/>
      <c r="J19" s="61">
        <v>1.5</v>
      </c>
      <c r="K19" s="61">
        <v>2.4982053122756636</v>
      </c>
      <c r="L19" s="61">
        <v>1.8479999999999994</v>
      </c>
      <c r="M19" s="61">
        <v>1.76</v>
      </c>
      <c r="N19" s="61">
        <v>1.6</v>
      </c>
      <c r="O19" s="61"/>
      <c r="P19" s="61"/>
      <c r="Q19" s="61"/>
      <c r="R19" s="61"/>
      <c r="S19" s="61"/>
      <c r="T19" s="61"/>
      <c r="U19" s="61"/>
      <c r="V19" s="61"/>
      <c r="W19" s="61"/>
      <c r="X19" s="61">
        <v>9</v>
      </c>
      <c r="Y19" s="61">
        <v>9</v>
      </c>
      <c r="Z19" s="61"/>
      <c r="AA19" s="61"/>
      <c r="AB19" s="61"/>
      <c r="AC19" s="61"/>
      <c r="AD19" s="61">
        <v>1</v>
      </c>
      <c r="AE19" s="61"/>
      <c r="AF19" s="61">
        <v>2</v>
      </c>
      <c r="AG19" s="61"/>
      <c r="AH19" s="61">
        <v>4</v>
      </c>
      <c r="AI19" s="61">
        <v>4</v>
      </c>
      <c r="AJ19" s="61">
        <v>3</v>
      </c>
      <c r="AK19" s="61"/>
      <c r="AL19" s="61">
        <v>2.4789756336312307</v>
      </c>
      <c r="AM19" s="61">
        <v>0.3700662859886218</v>
      </c>
      <c r="AN19" s="61">
        <v>0.5449123053908473</v>
      </c>
      <c r="AO19" s="61">
        <v>0.5455116852714467</v>
      </c>
      <c r="AP19" s="61">
        <v>1.6959880255419102</v>
      </c>
      <c r="AQ19" s="61">
        <v>1.6934509381868998</v>
      </c>
      <c r="AR19" s="61">
        <v>2.4751814586035934</v>
      </c>
      <c r="AS19" s="61">
        <v>0.9999333466010945</v>
      </c>
      <c r="AT19" s="61">
        <v>0.6272473226575752</v>
      </c>
      <c r="AU19" s="61"/>
      <c r="AV19" s="61"/>
      <c r="AW19" s="61">
        <v>1.1614082585892325</v>
      </c>
      <c r="AX19" s="61"/>
      <c r="AY19" s="61">
        <v>3.279113191563989</v>
      </c>
      <c r="AZ19" s="61"/>
      <c r="BA19" s="61">
        <v>0.12606510156853346</v>
      </c>
      <c r="BB19" s="61"/>
      <c r="BC19" s="61"/>
      <c r="BD19" s="61">
        <v>4.292403768402849</v>
      </c>
      <c r="BE19" s="61"/>
      <c r="BF19" s="61"/>
      <c r="BG19" s="61">
        <v>1.755053596126955</v>
      </c>
      <c r="BH19" s="77">
        <v>2.021437588355624</v>
      </c>
      <c r="BI19" s="61">
        <v>2.0239674800396323</v>
      </c>
      <c r="BJ19" s="61"/>
      <c r="BK19" s="61">
        <v>1.62979984394228</v>
      </c>
      <c r="BL19" s="77">
        <v>1.3553835682336166</v>
      </c>
      <c r="BM19" s="61"/>
      <c r="BN19" s="61"/>
      <c r="BO19" s="61"/>
      <c r="BP19" s="61">
        <v>6.728508775424554</v>
      </c>
      <c r="BQ19" s="62">
        <v>5.060336110088921</v>
      </c>
    </row>
    <row r="20" spans="1:69" s="4" customFormat="1" ht="15.75">
      <c r="A20" s="101" t="s">
        <v>551</v>
      </c>
      <c r="B20" s="125" t="s">
        <v>557</v>
      </c>
      <c r="C20" s="41" t="s">
        <v>560</v>
      </c>
      <c r="D20" s="124" t="s">
        <v>555</v>
      </c>
      <c r="E20" s="157"/>
      <c r="F20" s="117"/>
      <c r="G20" s="118"/>
      <c r="H20" s="119"/>
      <c r="I20" s="118"/>
      <c r="J20" s="118"/>
      <c r="K20" s="120"/>
      <c r="L20" s="121"/>
      <c r="M20" s="122"/>
      <c r="N20" s="122"/>
      <c r="O20" s="117"/>
      <c r="P20" s="122"/>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58"/>
    </row>
    <row r="21" spans="1:69" ht="15.75">
      <c r="A21" s="18" t="s">
        <v>282</v>
      </c>
      <c r="B21" s="18" t="s">
        <v>368</v>
      </c>
      <c r="C21" s="18" t="s">
        <v>46</v>
      </c>
      <c r="D21" s="18" t="s">
        <v>392</v>
      </c>
      <c r="E21" s="81">
        <v>32.25</v>
      </c>
      <c r="F21" s="77">
        <v>25.6</v>
      </c>
      <c r="G21" s="77">
        <v>28</v>
      </c>
      <c r="H21" s="61">
        <v>37.6</v>
      </c>
      <c r="I21" s="61">
        <f>85*0.91</f>
        <v>77.35000000000001</v>
      </c>
      <c r="J21" s="61">
        <v>7.4</v>
      </c>
      <c r="K21" s="61">
        <v>20.028715003589372</v>
      </c>
      <c r="L21" s="61">
        <v>2.88</v>
      </c>
      <c r="M21" s="61"/>
      <c r="N21" s="61">
        <v>6.7</v>
      </c>
      <c r="O21" s="61"/>
      <c r="P21" s="61"/>
      <c r="Q21" s="61"/>
      <c r="R21" s="61"/>
      <c r="S21" s="61"/>
      <c r="T21" s="61"/>
      <c r="U21" s="61"/>
      <c r="V21" s="61"/>
      <c r="W21" s="61"/>
      <c r="X21" s="61">
        <v>5</v>
      </c>
      <c r="Y21" s="61">
        <v>5</v>
      </c>
      <c r="Z21" s="61"/>
      <c r="AA21" s="61"/>
      <c r="AB21" s="61"/>
      <c r="AC21" s="61"/>
      <c r="AD21" s="61">
        <v>11</v>
      </c>
      <c r="AE21" s="61">
        <v>15</v>
      </c>
      <c r="AF21" s="61">
        <v>19.5</v>
      </c>
      <c r="AG21" s="61">
        <v>7.5</v>
      </c>
      <c r="AH21" s="61">
        <v>24</v>
      </c>
      <c r="AI21" s="61">
        <v>24</v>
      </c>
      <c r="AJ21" s="61">
        <v>21</v>
      </c>
      <c r="AK21" s="61">
        <v>19.6706851986341</v>
      </c>
      <c r="AL21" s="61">
        <v>17.6832634375766</v>
      </c>
      <c r="AM21" s="61">
        <v>1.703091503244952</v>
      </c>
      <c r="AN21" s="61">
        <v>1.6900086919981891</v>
      </c>
      <c r="AO21" s="61">
        <v>1.691867628193978</v>
      </c>
      <c r="AP21" s="61">
        <v>10.369699012226649</v>
      </c>
      <c r="AQ21" s="61">
        <v>10.354186619542876</v>
      </c>
      <c r="AR21" s="61">
        <v>17.656198469437438</v>
      </c>
      <c r="AS21" s="61">
        <v>17.832047790304244</v>
      </c>
      <c r="AT21" s="61">
        <v>17.89735969420748</v>
      </c>
      <c r="AU21" s="61">
        <v>6.8049225399949025</v>
      </c>
      <c r="AV21" s="61">
        <v>14.456084491771014</v>
      </c>
      <c r="AW21" s="61">
        <v>15.780318532793432</v>
      </c>
      <c r="AX21" s="61">
        <v>13.36577014267644</v>
      </c>
      <c r="AY21" s="61">
        <v>13.31410732711614</v>
      </c>
      <c r="AZ21" s="61">
        <v>12.877390948133137</v>
      </c>
      <c r="BA21" s="61">
        <v>17.98519010092737</v>
      </c>
      <c r="BB21" s="61"/>
      <c r="BC21" s="61"/>
      <c r="BD21" s="61"/>
      <c r="BE21" s="61"/>
      <c r="BF21" s="61"/>
      <c r="BG21" s="61"/>
      <c r="BH21" s="77"/>
      <c r="BI21" s="61"/>
      <c r="BJ21" s="61"/>
      <c r="BK21" s="61"/>
      <c r="BL21" s="77"/>
      <c r="BM21" s="61"/>
      <c r="BN21" s="61"/>
      <c r="BO21" s="61"/>
      <c r="BP21" s="61"/>
      <c r="BQ21" s="62"/>
    </row>
    <row r="22" spans="1:69" ht="15.75">
      <c r="A22" s="18" t="s">
        <v>332</v>
      </c>
      <c r="B22" s="18" t="s">
        <v>369</v>
      </c>
      <c r="C22" s="18" t="s">
        <v>47</v>
      </c>
      <c r="D22" s="18" t="s">
        <v>393</v>
      </c>
      <c r="E22" s="81">
        <v>10.75</v>
      </c>
      <c r="F22" s="77">
        <v>6.4</v>
      </c>
      <c r="G22" s="77">
        <v>7</v>
      </c>
      <c r="H22" s="61">
        <v>9.4</v>
      </c>
      <c r="I22" s="61">
        <f>0.09*85</f>
        <v>7.6499999999999995</v>
      </c>
      <c r="J22" s="61">
        <v>1.2</v>
      </c>
      <c r="K22" s="61"/>
      <c r="L22" s="61">
        <v>0.12</v>
      </c>
      <c r="M22" s="61"/>
      <c r="N22" s="61">
        <v>1.2</v>
      </c>
      <c r="O22" s="61"/>
      <c r="P22" s="61"/>
      <c r="Q22" s="61"/>
      <c r="R22" s="61"/>
      <c r="S22" s="61"/>
      <c r="T22" s="61"/>
      <c r="U22" s="61"/>
      <c r="V22" s="61"/>
      <c r="W22" s="61"/>
      <c r="X22" s="61">
        <v>9</v>
      </c>
      <c r="Y22" s="61">
        <v>11</v>
      </c>
      <c r="Z22" s="61"/>
      <c r="AA22" s="61"/>
      <c r="AB22" s="61"/>
      <c r="AC22" s="61"/>
      <c r="AD22" s="61">
        <v>2</v>
      </c>
      <c r="AE22" s="61">
        <v>3</v>
      </c>
      <c r="AF22" s="61">
        <v>5.401</v>
      </c>
      <c r="AG22" s="61">
        <v>1.3583333333333334</v>
      </c>
      <c r="AH22" s="61">
        <v>2</v>
      </c>
      <c r="AI22" s="61">
        <v>2</v>
      </c>
      <c r="AJ22" s="61">
        <v>5</v>
      </c>
      <c r="AK22" s="61"/>
      <c r="AL22" s="61">
        <v>1.9648070486196223</v>
      </c>
      <c r="AM22" s="61">
        <v>0.18923238924943908</v>
      </c>
      <c r="AN22" s="61">
        <v>0.18777874355535434</v>
      </c>
      <c r="AO22" s="61">
        <v>0.1879852920215531</v>
      </c>
      <c r="AP22" s="61">
        <v>1.1521887791362944</v>
      </c>
      <c r="AQ22" s="61">
        <v>1.1504651799492085</v>
      </c>
      <c r="AR22" s="61">
        <v>1.9617998299374932</v>
      </c>
      <c r="AS22" s="61">
        <v>1.9813386433671385</v>
      </c>
      <c r="AT22" s="61">
        <v>1.9885955215786093</v>
      </c>
      <c r="AU22" s="61">
        <v>0.756102504443878</v>
      </c>
      <c r="AV22" s="61">
        <v>1.6062316101967795</v>
      </c>
      <c r="AW22" s="61">
        <v>1.753368725865937</v>
      </c>
      <c r="AX22" s="61">
        <v>1.4850855714084936</v>
      </c>
      <c r="AY22" s="61">
        <v>1.4793452585684603</v>
      </c>
      <c r="AZ22" s="61">
        <v>1.4308212164592378</v>
      </c>
      <c r="BA22" s="61">
        <v>1.9983544556585966</v>
      </c>
      <c r="BB22" s="61"/>
      <c r="BC22" s="61"/>
      <c r="BD22" s="61"/>
      <c r="BE22" s="61"/>
      <c r="BF22" s="61"/>
      <c r="BG22" s="61"/>
      <c r="BH22" s="77"/>
      <c r="BI22" s="61"/>
      <c r="BJ22" s="61"/>
      <c r="BK22" s="61"/>
      <c r="BL22" s="77"/>
      <c r="BM22" s="61"/>
      <c r="BN22" s="61"/>
      <c r="BO22" s="61"/>
      <c r="BP22" s="61"/>
      <c r="BQ22" s="62"/>
    </row>
    <row r="23" spans="1:69" ht="15.75">
      <c r="A23" s="18" t="s">
        <v>160</v>
      </c>
      <c r="B23" s="18" t="s">
        <v>370</v>
      </c>
      <c r="C23" s="18" t="s">
        <v>291</v>
      </c>
      <c r="D23" s="18" t="s">
        <v>553</v>
      </c>
      <c r="E23" s="81"/>
      <c r="F23" s="77"/>
      <c r="G23" s="77"/>
      <c r="H23" s="61"/>
      <c r="I23" s="61"/>
      <c r="K23" s="61"/>
      <c r="L23" s="61"/>
      <c r="M23" s="61"/>
      <c r="O23" s="61"/>
      <c r="P23" s="61"/>
      <c r="Q23" s="61"/>
      <c r="R23" s="61"/>
      <c r="S23" s="61"/>
      <c r="T23" s="61"/>
      <c r="U23" s="61"/>
      <c r="V23" s="61"/>
      <c r="W23" s="61"/>
      <c r="X23" s="61"/>
      <c r="Y23" s="61">
        <v>2</v>
      </c>
      <c r="Z23" s="61"/>
      <c r="AA23" s="61">
        <v>8</v>
      </c>
      <c r="AB23" s="61"/>
      <c r="AC23" s="61">
        <v>13</v>
      </c>
      <c r="AD23" s="61">
        <v>13</v>
      </c>
      <c r="AE23" s="61">
        <v>12</v>
      </c>
      <c r="AF23" s="61">
        <v>17</v>
      </c>
      <c r="AG23" s="61">
        <v>10</v>
      </c>
      <c r="AH23" s="61">
        <v>18</v>
      </c>
      <c r="AI23" s="61">
        <v>18</v>
      </c>
      <c r="AJ23" s="61">
        <v>18</v>
      </c>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77"/>
      <c r="BI23" s="61"/>
      <c r="BJ23" s="61"/>
      <c r="BK23" s="61"/>
      <c r="BL23" s="77"/>
      <c r="BM23" s="61"/>
      <c r="BN23" s="61"/>
      <c r="BO23" s="61"/>
      <c r="BP23" s="61"/>
      <c r="BQ23" s="62"/>
    </row>
    <row r="24" spans="1:69" s="4" customFormat="1" ht="15.75">
      <c r="A24" s="101" t="s">
        <v>489</v>
      </c>
      <c r="B24" s="124" t="s">
        <v>559</v>
      </c>
      <c r="C24" s="41" t="s">
        <v>561</v>
      </c>
      <c r="D24" s="18" t="s">
        <v>554</v>
      </c>
      <c r="E24" s="157"/>
      <c r="F24" s="117"/>
      <c r="G24" s="118"/>
      <c r="H24" s="119"/>
      <c r="I24" s="118"/>
      <c r="J24" s="118"/>
      <c r="K24" s="120"/>
      <c r="L24" s="121"/>
      <c r="M24" s="122"/>
      <c r="N24" s="122"/>
      <c r="O24" s="117"/>
      <c r="P24" s="122"/>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58"/>
    </row>
    <row r="25" spans="1:69" s="4" customFormat="1" ht="15.75">
      <c r="A25" s="101" t="s">
        <v>552</v>
      </c>
      <c r="B25" s="125" t="s">
        <v>558</v>
      </c>
      <c r="C25" s="41" t="s">
        <v>562</v>
      </c>
      <c r="D25" s="124" t="s">
        <v>556</v>
      </c>
      <c r="E25" s="157"/>
      <c r="F25" s="117"/>
      <c r="G25" s="118"/>
      <c r="H25" s="119"/>
      <c r="I25" s="118"/>
      <c r="J25" s="118"/>
      <c r="K25" s="120"/>
      <c r="L25" s="121"/>
      <c r="M25" s="122"/>
      <c r="N25" s="122"/>
      <c r="O25" s="117"/>
      <c r="P25" s="122"/>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58"/>
    </row>
    <row r="26" spans="1:69" ht="15.75">
      <c r="A26" s="18" t="s">
        <v>170</v>
      </c>
      <c r="B26" s="18" t="s">
        <v>371</v>
      </c>
      <c r="C26" s="18" t="s">
        <v>77</v>
      </c>
      <c r="D26" s="18" t="s">
        <v>386</v>
      </c>
      <c r="E26" s="81"/>
      <c r="F26" s="77"/>
      <c r="G26" s="77"/>
      <c r="H26" s="61"/>
      <c r="I26" s="61"/>
      <c r="J26" s="61"/>
      <c r="K26" s="61"/>
      <c r="L26" s="61"/>
      <c r="M26" s="61"/>
      <c r="N26" s="61"/>
      <c r="O26" s="61"/>
      <c r="P26" s="61"/>
      <c r="Q26" s="61"/>
      <c r="R26" s="61"/>
      <c r="S26" s="61"/>
      <c r="T26" s="61"/>
      <c r="U26" s="61"/>
      <c r="V26" s="61">
        <v>6.908376288659794</v>
      </c>
      <c r="W26" s="61"/>
      <c r="X26" s="61"/>
      <c r="Y26" s="61"/>
      <c r="Z26" s="61">
        <v>11</v>
      </c>
      <c r="AA26" s="61">
        <v>11</v>
      </c>
      <c r="AB26" s="61">
        <v>4</v>
      </c>
      <c r="AC26" s="61">
        <v>4</v>
      </c>
      <c r="AD26" s="61">
        <v>1</v>
      </c>
      <c r="AE26" s="61"/>
      <c r="AF26" s="61"/>
      <c r="AG26" s="61">
        <v>5.5</v>
      </c>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77"/>
      <c r="BI26" s="61"/>
      <c r="BJ26" s="61"/>
      <c r="BK26" s="61"/>
      <c r="BL26" s="77"/>
      <c r="BM26" s="61"/>
      <c r="BN26" s="61"/>
      <c r="BO26" s="61"/>
      <c r="BP26" s="61"/>
      <c r="BQ26" s="62"/>
    </row>
    <row r="27" spans="1:69" ht="15.75">
      <c r="A27" s="18" t="s">
        <v>166</v>
      </c>
      <c r="B27" s="18" t="s">
        <v>372</v>
      </c>
      <c r="C27" s="18" t="s">
        <v>78</v>
      </c>
      <c r="D27" s="18" t="s">
        <v>387</v>
      </c>
      <c r="E27" s="81"/>
      <c r="F27" s="77"/>
      <c r="G27" s="77"/>
      <c r="H27" s="61"/>
      <c r="I27" s="61"/>
      <c r="J27" s="61"/>
      <c r="K27" s="61"/>
      <c r="L27" s="61"/>
      <c r="M27" s="61"/>
      <c r="N27" s="61"/>
      <c r="O27" s="61"/>
      <c r="P27" s="61"/>
      <c r="Q27" s="61"/>
      <c r="R27" s="61"/>
      <c r="S27" s="61"/>
      <c r="T27" s="61"/>
      <c r="U27" s="61">
        <v>17</v>
      </c>
      <c r="V27" s="61">
        <v>6.095876288659793</v>
      </c>
      <c r="W27" s="61"/>
      <c r="X27" s="61"/>
      <c r="Y27" s="61"/>
      <c r="Z27" s="61">
        <v>6</v>
      </c>
      <c r="AA27" s="61">
        <v>6</v>
      </c>
      <c r="AB27" s="61">
        <v>4</v>
      </c>
      <c r="AC27" s="61">
        <v>4</v>
      </c>
      <c r="AD27" s="61">
        <v>5</v>
      </c>
      <c r="AE27" s="61">
        <v>10</v>
      </c>
      <c r="AF27" s="61"/>
      <c r="AG27" s="61">
        <v>8</v>
      </c>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77"/>
      <c r="BI27" s="61"/>
      <c r="BJ27" s="61"/>
      <c r="BK27" s="61"/>
      <c r="BL27" s="77"/>
      <c r="BM27" s="61"/>
      <c r="BN27" s="61"/>
      <c r="BO27" s="61"/>
      <c r="BP27" s="61"/>
      <c r="BQ27" s="62"/>
    </row>
    <row r="28" spans="1:69" ht="15.75">
      <c r="A28" s="18" t="s">
        <v>283</v>
      </c>
      <c r="B28" s="18" t="s">
        <v>373</v>
      </c>
      <c r="C28" s="18" t="s">
        <v>292</v>
      </c>
      <c r="D28" s="18" t="s">
        <v>388</v>
      </c>
      <c r="E28" s="81"/>
      <c r="F28" s="77"/>
      <c r="G28" s="77"/>
      <c r="H28" s="61"/>
      <c r="I28" s="61"/>
      <c r="J28" s="61"/>
      <c r="K28" s="61"/>
      <c r="L28" s="61"/>
      <c r="M28" s="61"/>
      <c r="N28" s="61"/>
      <c r="O28" s="61"/>
      <c r="P28" s="61"/>
      <c r="Q28" s="61"/>
      <c r="R28" s="61">
        <v>8</v>
      </c>
      <c r="S28" s="61">
        <v>12</v>
      </c>
      <c r="T28" s="61">
        <v>9</v>
      </c>
      <c r="U28" s="61">
        <v>18</v>
      </c>
      <c r="V28" s="61">
        <v>5.229188144329897</v>
      </c>
      <c r="W28" s="61">
        <v>13</v>
      </c>
      <c r="X28" s="61">
        <v>2</v>
      </c>
      <c r="Y28" s="61"/>
      <c r="Z28" s="61">
        <v>12</v>
      </c>
      <c r="AA28" s="61">
        <v>14</v>
      </c>
      <c r="AB28" s="61">
        <v>15</v>
      </c>
      <c r="AC28" s="61">
        <v>15</v>
      </c>
      <c r="AD28" s="61">
        <v>10</v>
      </c>
      <c r="AE28" s="61">
        <v>4</v>
      </c>
      <c r="AF28" s="61"/>
      <c r="AG28" s="61">
        <v>9.112244897959183</v>
      </c>
      <c r="AH28" s="61"/>
      <c r="AI28" s="61"/>
      <c r="AJ28" s="61"/>
      <c r="AK28" s="61"/>
      <c r="AL28" s="61"/>
      <c r="AM28" s="61">
        <v>12.370851589897203</v>
      </c>
      <c r="AN28" s="61">
        <v>6.860017707516655</v>
      </c>
      <c r="AO28" s="61">
        <v>6.8675634291929</v>
      </c>
      <c r="AP28" s="61"/>
      <c r="AQ28" s="61"/>
      <c r="AR28" s="61"/>
      <c r="AS28" s="61"/>
      <c r="AT28" s="61"/>
      <c r="AU28" s="61">
        <v>6.938610384948169</v>
      </c>
      <c r="AV28" s="61"/>
      <c r="AW28" s="61"/>
      <c r="AX28" s="61"/>
      <c r="AY28" s="61"/>
      <c r="AZ28" s="61"/>
      <c r="BA28" s="61"/>
      <c r="BB28" s="61"/>
      <c r="BC28" s="61"/>
      <c r="BD28" s="61"/>
      <c r="BE28" s="61"/>
      <c r="BF28" s="61"/>
      <c r="BG28" s="61"/>
      <c r="BH28" s="77"/>
      <c r="BI28" s="61"/>
      <c r="BJ28" s="61"/>
      <c r="BK28" s="61"/>
      <c r="BL28" s="77"/>
      <c r="BM28" s="61"/>
      <c r="BN28" s="61"/>
      <c r="BO28" s="61"/>
      <c r="BP28" s="61"/>
      <c r="BQ28" s="62"/>
    </row>
    <row r="29" spans="1:69" ht="15.75">
      <c r="A29" s="18" t="s">
        <v>167</v>
      </c>
      <c r="B29" s="18" t="s">
        <v>374</v>
      </c>
      <c r="C29" s="18" t="s">
        <v>293</v>
      </c>
      <c r="D29" s="18" t="s">
        <v>389</v>
      </c>
      <c r="E29" s="81"/>
      <c r="F29" s="77"/>
      <c r="G29" s="77"/>
      <c r="H29" s="61"/>
      <c r="I29" s="61"/>
      <c r="J29" s="61"/>
      <c r="K29" s="61"/>
      <c r="L29" s="61"/>
      <c r="M29" s="61"/>
      <c r="N29" s="61"/>
      <c r="O29" s="61"/>
      <c r="P29" s="61"/>
      <c r="Q29" s="61"/>
      <c r="R29" s="61">
        <v>14</v>
      </c>
      <c r="S29" s="61">
        <v>5</v>
      </c>
      <c r="T29" s="61">
        <v>16</v>
      </c>
      <c r="U29" s="61">
        <v>5</v>
      </c>
      <c r="V29" s="61">
        <v>3.0927190721649485</v>
      </c>
      <c r="W29" s="61">
        <v>25</v>
      </c>
      <c r="X29" s="61">
        <v>7</v>
      </c>
      <c r="Y29" s="61"/>
      <c r="Z29" s="61">
        <v>17</v>
      </c>
      <c r="AA29" s="61">
        <v>17</v>
      </c>
      <c r="AB29" s="61">
        <v>5</v>
      </c>
      <c r="AC29" s="61">
        <v>5</v>
      </c>
      <c r="AD29" s="61">
        <v>1</v>
      </c>
      <c r="AE29" s="61">
        <v>2</v>
      </c>
      <c r="AF29" s="61"/>
      <c r="AG29" s="61">
        <v>9.5</v>
      </c>
      <c r="AH29" s="61"/>
      <c r="AI29" s="61"/>
      <c r="AJ29" s="61"/>
      <c r="AK29" s="61"/>
      <c r="AL29" s="61"/>
      <c r="AM29" s="61">
        <v>1.7672645128424576</v>
      </c>
      <c r="AN29" s="61">
        <v>0.9800025296452364</v>
      </c>
      <c r="AO29" s="61">
        <v>0.9810804898847002</v>
      </c>
      <c r="AP29" s="61"/>
      <c r="AQ29" s="61"/>
      <c r="AR29" s="61"/>
      <c r="AS29" s="61"/>
      <c r="AT29" s="61"/>
      <c r="AU29" s="61">
        <v>0.9912300549925956</v>
      </c>
      <c r="AV29" s="61"/>
      <c r="AW29" s="61"/>
      <c r="AX29" s="61"/>
      <c r="AY29" s="61"/>
      <c r="AZ29" s="61"/>
      <c r="BA29" s="61"/>
      <c r="BB29" s="61"/>
      <c r="BC29" s="61"/>
      <c r="BD29" s="61"/>
      <c r="BE29" s="61"/>
      <c r="BF29" s="61"/>
      <c r="BG29" s="61"/>
      <c r="BH29" s="77"/>
      <c r="BI29" s="61"/>
      <c r="BJ29" s="61"/>
      <c r="BK29" s="61"/>
      <c r="BL29" s="77"/>
      <c r="BM29" s="61"/>
      <c r="BN29" s="61"/>
      <c r="BO29" s="61"/>
      <c r="BP29" s="61"/>
      <c r="BQ29" s="62"/>
    </row>
    <row r="30" spans="1:69" ht="15.75">
      <c r="A30" s="18" t="s">
        <v>280</v>
      </c>
      <c r="B30" s="18" t="s">
        <v>375</v>
      </c>
      <c r="C30" s="18" t="s">
        <v>79</v>
      </c>
      <c r="D30" s="18" t="s">
        <v>100</v>
      </c>
      <c r="E30" s="81"/>
      <c r="F30" s="77"/>
      <c r="G30" s="77"/>
      <c r="H30" s="61"/>
      <c r="I30" s="61"/>
      <c r="J30" s="61"/>
      <c r="K30" s="61"/>
      <c r="L30" s="61"/>
      <c r="M30" s="61"/>
      <c r="N30" s="61"/>
      <c r="O30" s="61"/>
      <c r="P30" s="61"/>
      <c r="Q30" s="61"/>
      <c r="R30" s="61"/>
      <c r="S30" s="61"/>
      <c r="T30" s="61">
        <v>15</v>
      </c>
      <c r="U30" s="61">
        <v>14</v>
      </c>
      <c r="V30" s="61"/>
      <c r="W30" s="61">
        <v>12</v>
      </c>
      <c r="X30" s="61">
        <v>9</v>
      </c>
      <c r="Y30" s="61"/>
      <c r="Z30" s="61"/>
      <c r="AA30" s="61"/>
      <c r="AB30" s="61"/>
      <c r="AC30" s="61"/>
      <c r="AD30" s="61">
        <v>3</v>
      </c>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77"/>
      <c r="BI30" s="61"/>
      <c r="BJ30" s="61"/>
      <c r="BK30" s="61"/>
      <c r="BL30" s="77"/>
      <c r="BM30" s="61"/>
      <c r="BN30" s="61"/>
      <c r="BO30" s="61"/>
      <c r="BP30" s="61"/>
      <c r="BQ30" s="62"/>
    </row>
    <row r="31" spans="1:69" ht="15.75">
      <c r="A31" s="18" t="s">
        <v>285</v>
      </c>
      <c r="B31" s="18" t="s">
        <v>376</v>
      </c>
      <c r="C31" s="18" t="s">
        <v>80</v>
      </c>
      <c r="D31" s="18" t="s">
        <v>101</v>
      </c>
      <c r="E31" s="81"/>
      <c r="F31" s="77"/>
      <c r="G31" s="77"/>
      <c r="H31" s="61"/>
      <c r="I31" s="61"/>
      <c r="J31" s="61"/>
      <c r="K31" s="61"/>
      <c r="L31" s="61"/>
      <c r="M31" s="61"/>
      <c r="N31" s="61"/>
      <c r="O31" s="61"/>
      <c r="P31" s="61"/>
      <c r="Q31" s="61"/>
      <c r="R31" s="61"/>
      <c r="S31" s="61"/>
      <c r="T31" s="61">
        <v>10</v>
      </c>
      <c r="U31" s="61"/>
      <c r="V31" s="61"/>
      <c r="W31" s="61">
        <v>12</v>
      </c>
      <c r="X31" s="61">
        <v>7</v>
      </c>
      <c r="Y31" s="61"/>
      <c r="Z31" s="61"/>
      <c r="AA31" s="61"/>
      <c r="AB31" s="61"/>
      <c r="AC31" s="61"/>
      <c r="AD31" s="61"/>
      <c r="AE31" s="61">
        <v>8</v>
      </c>
      <c r="AF31" s="61"/>
      <c r="AG31" s="61">
        <v>3.8333333333333335</v>
      </c>
      <c r="AH31" s="61"/>
      <c r="AI31" s="61"/>
      <c r="AJ31" s="61"/>
      <c r="AK31" s="61"/>
      <c r="AL31" s="61"/>
      <c r="AM31" s="61">
        <v>21.207174154109495</v>
      </c>
      <c r="AN31" s="61">
        <v>11.760030355742837</v>
      </c>
      <c r="AO31" s="61">
        <v>11.772965878616402</v>
      </c>
      <c r="AP31" s="61"/>
      <c r="AQ31" s="61"/>
      <c r="AR31" s="61"/>
      <c r="AS31" s="61"/>
      <c r="AT31" s="61"/>
      <c r="AU31" s="61">
        <v>11.894760659911146</v>
      </c>
      <c r="AV31" s="61"/>
      <c r="AW31" s="61"/>
      <c r="AX31" s="61"/>
      <c r="AY31" s="61"/>
      <c r="AZ31" s="61"/>
      <c r="BA31" s="61"/>
      <c r="BB31" s="61"/>
      <c r="BC31" s="61"/>
      <c r="BD31" s="61"/>
      <c r="BE31" s="61"/>
      <c r="BF31" s="61"/>
      <c r="BG31" s="61"/>
      <c r="BH31" s="77"/>
      <c r="BI31" s="61"/>
      <c r="BJ31" s="61"/>
      <c r="BK31" s="61"/>
      <c r="BL31" s="77"/>
      <c r="BM31" s="61"/>
      <c r="BN31" s="61"/>
      <c r="BO31" s="61"/>
      <c r="BP31" s="61"/>
      <c r="BQ31" s="62"/>
    </row>
    <row r="32" spans="1:69" ht="15.75">
      <c r="A32" s="18" t="s">
        <v>169</v>
      </c>
      <c r="B32" s="18" t="s">
        <v>377</v>
      </c>
      <c r="C32" s="18" t="s">
        <v>364</v>
      </c>
      <c r="D32" s="18" t="s">
        <v>365</v>
      </c>
      <c r="E32" s="81"/>
      <c r="F32" s="77"/>
      <c r="G32" s="77"/>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77"/>
      <c r="BI32" s="61"/>
      <c r="BJ32" s="61"/>
      <c r="BK32" s="61"/>
      <c r="BL32" s="77"/>
      <c r="BM32" s="61"/>
      <c r="BN32" s="61"/>
      <c r="BO32" s="61"/>
      <c r="BP32" s="61"/>
      <c r="BQ32" s="62"/>
    </row>
    <row r="33" spans="1:69" ht="15.75">
      <c r="A33" s="18" t="s">
        <v>157</v>
      </c>
      <c r="B33" s="18" t="s">
        <v>378</v>
      </c>
      <c r="C33" s="18" t="s">
        <v>76</v>
      </c>
      <c r="D33" s="18" t="s">
        <v>366</v>
      </c>
      <c r="E33" s="81"/>
      <c r="F33" s="77"/>
      <c r="G33" s="77"/>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v>15.209102826930186</v>
      </c>
      <c r="BD33" s="61"/>
      <c r="BE33" s="61"/>
      <c r="BF33" s="61"/>
      <c r="BG33" s="61"/>
      <c r="BH33" s="77"/>
      <c r="BI33" s="61"/>
      <c r="BJ33" s="61"/>
      <c r="BK33" s="61"/>
      <c r="BL33" s="77"/>
      <c r="BM33" s="61"/>
      <c r="BN33" s="61">
        <v>45.21587678091011</v>
      </c>
      <c r="BO33" s="61"/>
      <c r="BP33" s="61"/>
      <c r="BQ33" s="62"/>
    </row>
    <row r="34" spans="1:69" ht="15.75">
      <c r="A34" s="18" t="s">
        <v>290</v>
      </c>
      <c r="B34" s="18" t="s">
        <v>379</v>
      </c>
      <c r="C34" s="18" t="s">
        <v>326</v>
      </c>
      <c r="D34" s="18" t="s">
        <v>56</v>
      </c>
      <c r="E34" s="81"/>
      <c r="F34" s="77"/>
      <c r="G34" s="77"/>
      <c r="H34" s="61"/>
      <c r="I34" s="61"/>
      <c r="J34" s="61"/>
      <c r="K34" s="61"/>
      <c r="L34" s="61"/>
      <c r="M34" s="61"/>
      <c r="N34" s="61"/>
      <c r="O34" s="61"/>
      <c r="P34" s="61"/>
      <c r="Q34" s="61"/>
      <c r="R34" s="61"/>
      <c r="S34" s="61"/>
      <c r="T34" s="61"/>
      <c r="U34" s="61"/>
      <c r="V34" s="61">
        <v>1.5</v>
      </c>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77"/>
      <c r="BI34" s="61"/>
      <c r="BJ34" s="61"/>
      <c r="BK34" s="61"/>
      <c r="BL34" s="77"/>
      <c r="BM34" s="61"/>
      <c r="BN34" s="61"/>
      <c r="BO34" s="61"/>
      <c r="BP34" s="61"/>
      <c r="BQ34" s="62"/>
    </row>
    <row r="35" spans="1:69" ht="15.75">
      <c r="A35" s="18" t="s">
        <v>274</v>
      </c>
      <c r="B35" s="18" t="s">
        <v>380</v>
      </c>
      <c r="C35" s="18" t="s">
        <v>325</v>
      </c>
      <c r="D35" s="18" t="s">
        <v>57</v>
      </c>
      <c r="E35" s="81"/>
      <c r="F35" s="77"/>
      <c r="G35" s="77"/>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77"/>
      <c r="BI35" s="61"/>
      <c r="BJ35" s="61"/>
      <c r="BK35" s="61"/>
      <c r="BL35" s="77"/>
      <c r="BM35" s="61"/>
      <c r="BN35" s="61"/>
      <c r="BO35" s="61"/>
      <c r="BP35" s="61"/>
      <c r="BQ35" s="62"/>
    </row>
    <row r="36" spans="1:69" ht="15.75">
      <c r="A36" s="18" t="s">
        <v>336</v>
      </c>
      <c r="B36" s="18" t="s">
        <v>381</v>
      </c>
      <c r="C36" s="18" t="s">
        <v>351</v>
      </c>
      <c r="D36" s="18" t="s">
        <v>144</v>
      </c>
      <c r="E36" s="81"/>
      <c r="F36" s="77"/>
      <c r="G36" s="77"/>
      <c r="H36" s="61"/>
      <c r="I36" s="61"/>
      <c r="J36" s="61"/>
      <c r="K36" s="61"/>
      <c r="L36" s="61"/>
      <c r="M36" s="61"/>
      <c r="N36" s="61"/>
      <c r="O36" s="61"/>
      <c r="P36" s="61">
        <v>2</v>
      </c>
      <c r="Q36" s="61">
        <v>2</v>
      </c>
      <c r="R36" s="61">
        <v>2</v>
      </c>
      <c r="S36" s="61">
        <v>2</v>
      </c>
      <c r="T36" s="61">
        <v>2</v>
      </c>
      <c r="U36" s="61"/>
      <c r="V36" s="61">
        <v>15.1159793814433</v>
      </c>
      <c r="W36" s="61"/>
      <c r="X36" s="61"/>
      <c r="Y36" s="61"/>
      <c r="Z36" s="61">
        <v>2</v>
      </c>
      <c r="AA36" s="61">
        <v>2</v>
      </c>
      <c r="AB36" s="61">
        <v>2</v>
      </c>
      <c r="AC36" s="61">
        <v>2</v>
      </c>
      <c r="AD36" s="61">
        <v>2</v>
      </c>
      <c r="AE36" s="61">
        <v>2</v>
      </c>
      <c r="AF36" s="61">
        <v>2</v>
      </c>
      <c r="AG36" s="61">
        <v>2</v>
      </c>
      <c r="AH36" s="61">
        <v>2</v>
      </c>
      <c r="AI36" s="61">
        <v>2</v>
      </c>
      <c r="AJ36" s="61">
        <v>2</v>
      </c>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77"/>
      <c r="BI36" s="61"/>
      <c r="BJ36" s="61"/>
      <c r="BK36" s="61"/>
      <c r="BL36" s="77"/>
      <c r="BM36" s="61"/>
      <c r="BN36" s="61"/>
      <c r="BO36" s="61"/>
      <c r="BP36" s="61"/>
      <c r="BQ36" s="62"/>
    </row>
    <row r="37" spans="1:69" ht="15.75">
      <c r="A37" s="18" t="s">
        <v>256</v>
      </c>
      <c r="B37" s="18" t="s">
        <v>382</v>
      </c>
      <c r="C37" s="18" t="s">
        <v>352</v>
      </c>
      <c r="D37" s="18" t="s">
        <v>385</v>
      </c>
      <c r="E37" s="81"/>
      <c r="F37" s="77"/>
      <c r="G37" s="77"/>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77"/>
      <c r="BI37" s="61"/>
      <c r="BJ37" s="61"/>
      <c r="BK37" s="61"/>
      <c r="BL37" s="77"/>
      <c r="BM37" s="61"/>
      <c r="BN37" s="61"/>
      <c r="BO37" s="61"/>
      <c r="BP37" s="61"/>
      <c r="BQ37" s="62"/>
    </row>
    <row r="38" spans="1:69" ht="15.75">
      <c r="A38" s="18" t="s">
        <v>163</v>
      </c>
      <c r="B38" s="18" t="s">
        <v>383</v>
      </c>
      <c r="C38" s="18" t="s">
        <v>353</v>
      </c>
      <c r="D38" s="18" t="s">
        <v>142</v>
      </c>
      <c r="E38" s="81"/>
      <c r="F38" s="77"/>
      <c r="G38" s="77"/>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v>13.8563980107111</v>
      </c>
      <c r="BC38" s="61"/>
      <c r="BD38" s="61"/>
      <c r="BE38" s="61"/>
      <c r="BF38" s="61"/>
      <c r="BG38" s="61"/>
      <c r="BH38" s="77"/>
      <c r="BI38" s="61"/>
      <c r="BJ38" s="61"/>
      <c r="BK38" s="61"/>
      <c r="BL38" s="77"/>
      <c r="BM38" s="61">
        <v>40.966654218249985</v>
      </c>
      <c r="BN38" s="61"/>
      <c r="BO38" s="61"/>
      <c r="BP38" s="61"/>
      <c r="BQ38" s="62"/>
    </row>
    <row r="39" spans="1:69" ht="15.75">
      <c r="A39" s="18" t="s">
        <v>269</v>
      </c>
      <c r="B39" s="18" t="s">
        <v>384</v>
      </c>
      <c r="C39" s="18" t="s">
        <v>354</v>
      </c>
      <c r="D39" s="18" t="s">
        <v>143</v>
      </c>
      <c r="E39" s="81"/>
      <c r="F39" s="77"/>
      <c r="G39" s="77"/>
      <c r="H39" s="61"/>
      <c r="I39" s="61"/>
      <c r="J39" s="61"/>
      <c r="K39" s="61"/>
      <c r="L39" s="61"/>
      <c r="M39" s="61"/>
      <c r="N39" s="61"/>
      <c r="O39" s="61"/>
      <c r="P39" s="61">
        <v>18</v>
      </c>
      <c r="Q39" s="61">
        <v>16</v>
      </c>
      <c r="R39" s="61">
        <v>11</v>
      </c>
      <c r="S39" s="61">
        <v>11</v>
      </c>
      <c r="T39" s="61">
        <v>2</v>
      </c>
      <c r="U39" s="61"/>
      <c r="V39" s="61">
        <v>4.34875</v>
      </c>
      <c r="W39" s="61"/>
      <c r="X39" s="61"/>
      <c r="Y39" s="61"/>
      <c r="Z39" s="61">
        <v>6</v>
      </c>
      <c r="AA39" s="61">
        <v>5</v>
      </c>
      <c r="AB39" s="61">
        <v>8</v>
      </c>
      <c r="AC39" s="61">
        <v>8</v>
      </c>
      <c r="AD39" s="61"/>
      <c r="AE39" s="61"/>
      <c r="AF39" s="61"/>
      <c r="AG39" s="61">
        <v>2.6666666666666665</v>
      </c>
      <c r="AH39" s="61"/>
      <c r="AI39" s="61"/>
      <c r="AJ39" s="61"/>
      <c r="AK39" s="61"/>
      <c r="AL39" s="61"/>
      <c r="AM39" s="61"/>
      <c r="AN39" s="61"/>
      <c r="AO39" s="61"/>
      <c r="AP39" s="61"/>
      <c r="AQ39" s="61"/>
      <c r="AR39" s="61"/>
      <c r="AS39" s="61"/>
      <c r="AT39" s="61"/>
      <c r="AU39" s="61">
        <v>31.203260972836354</v>
      </c>
      <c r="AV39" s="61">
        <v>28.388174044386403</v>
      </c>
      <c r="AW39" s="61">
        <v>31.83796047471066</v>
      </c>
      <c r="AX39" s="61">
        <v>26.247066365968518</v>
      </c>
      <c r="AY39" s="61">
        <v>27.598147452092416</v>
      </c>
      <c r="AZ39" s="61">
        <v>25.28801043472762</v>
      </c>
      <c r="BA39" s="61"/>
      <c r="BB39" s="61">
        <v>9.64074876446469</v>
      </c>
      <c r="BC39" s="61">
        <v>9.709414058799675</v>
      </c>
      <c r="BD39" s="61">
        <v>9.031587597300796</v>
      </c>
      <c r="BE39" s="61">
        <v>7.458364222155905</v>
      </c>
      <c r="BF39" s="61">
        <v>8.704915276410562</v>
      </c>
      <c r="BG39" s="61"/>
      <c r="BH39" s="77"/>
      <c r="BI39" s="61"/>
      <c r="BJ39" s="61">
        <v>6.9864808304673325</v>
      </c>
      <c r="BK39" s="61">
        <v>9.87620942725842</v>
      </c>
      <c r="BL39" s="77"/>
      <c r="BM39" s="61"/>
      <c r="BN39" s="61"/>
      <c r="BO39" s="61"/>
      <c r="BP39" s="61"/>
      <c r="BQ39" s="62"/>
    </row>
    <row r="40" spans="1:69" ht="15.75">
      <c r="A40" s="18" t="s">
        <v>270</v>
      </c>
      <c r="B40" s="18" t="s">
        <v>16</v>
      </c>
      <c r="C40" s="18" t="s">
        <v>355</v>
      </c>
      <c r="D40" s="18" t="s">
        <v>58</v>
      </c>
      <c r="E40" s="81"/>
      <c r="F40" s="77"/>
      <c r="G40" s="77"/>
      <c r="H40" s="61"/>
      <c r="I40" s="61"/>
      <c r="J40" s="61"/>
      <c r="K40" s="61"/>
      <c r="L40" s="61"/>
      <c r="M40" s="61"/>
      <c r="N40" s="61"/>
      <c r="O40" s="61"/>
      <c r="P40" s="61">
        <v>10</v>
      </c>
      <c r="Q40" s="61">
        <v>8</v>
      </c>
      <c r="R40" s="61">
        <v>6</v>
      </c>
      <c r="S40" s="61">
        <v>8</v>
      </c>
      <c r="T40" s="61">
        <v>3</v>
      </c>
      <c r="U40" s="61"/>
      <c r="V40" s="61">
        <v>2.52625</v>
      </c>
      <c r="W40" s="61"/>
      <c r="X40" s="61"/>
      <c r="Y40" s="61"/>
      <c r="Z40" s="61">
        <v>3</v>
      </c>
      <c r="AA40" s="61">
        <v>4</v>
      </c>
      <c r="AB40" s="61">
        <v>8</v>
      </c>
      <c r="AC40" s="61">
        <v>8</v>
      </c>
      <c r="AD40" s="61"/>
      <c r="AE40" s="61"/>
      <c r="AF40" s="61"/>
      <c r="AG40" s="61">
        <v>2</v>
      </c>
      <c r="AH40" s="61"/>
      <c r="AI40" s="61"/>
      <c r="AJ40" s="61"/>
      <c r="AK40" s="61"/>
      <c r="AL40" s="61"/>
      <c r="AM40" s="61"/>
      <c r="AN40" s="61"/>
      <c r="AO40" s="61"/>
      <c r="AP40" s="61"/>
      <c r="AQ40" s="61"/>
      <c r="AR40" s="61"/>
      <c r="AS40" s="61"/>
      <c r="AT40" s="61"/>
      <c r="AU40" s="61">
        <v>3.467028996981817</v>
      </c>
      <c r="AV40" s="61">
        <v>3.154241560487378</v>
      </c>
      <c r="AW40" s="61">
        <v>3.5375511638567403</v>
      </c>
      <c r="AX40" s="61">
        <v>2.9163407073298355</v>
      </c>
      <c r="AY40" s="61">
        <v>3.0664608280102685</v>
      </c>
      <c r="AZ40" s="61">
        <v>2.809778937191958</v>
      </c>
      <c r="BA40" s="61"/>
      <c r="BB40" s="61">
        <v>1.0711943071627432</v>
      </c>
      <c r="BC40" s="61">
        <v>1.078823784311075</v>
      </c>
      <c r="BD40" s="61">
        <v>1.0035097330334217</v>
      </c>
      <c r="BE40" s="61">
        <v>0.8287071357951004</v>
      </c>
      <c r="BF40" s="61">
        <v>0.9672128084900623</v>
      </c>
      <c r="BG40" s="61"/>
      <c r="BH40" s="77"/>
      <c r="BI40" s="61"/>
      <c r="BJ40" s="61">
        <v>0.7762756478297035</v>
      </c>
      <c r="BK40" s="61">
        <v>1.0973566030287132</v>
      </c>
      <c r="BL40" s="77"/>
      <c r="BM40" s="61"/>
      <c r="BN40" s="61"/>
      <c r="BO40" s="61"/>
      <c r="BP40" s="61"/>
      <c r="BQ40" s="62"/>
    </row>
    <row r="41" spans="1:69" ht="15.75">
      <c r="A41" s="18" t="s">
        <v>172</v>
      </c>
      <c r="B41" s="18" t="s">
        <v>17</v>
      </c>
      <c r="C41" s="18" t="s">
        <v>71</v>
      </c>
      <c r="D41" s="18" t="s">
        <v>59</v>
      </c>
      <c r="E41" s="81"/>
      <c r="F41" s="77"/>
      <c r="G41" s="77"/>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v>29.1674240814193</v>
      </c>
      <c r="AW41" s="61"/>
      <c r="AX41" s="61">
        <v>45.3054729120365</v>
      </c>
      <c r="AY41" s="61">
        <v>0</v>
      </c>
      <c r="AZ41" s="61">
        <v>50.665215049584184</v>
      </c>
      <c r="BA41" s="61"/>
      <c r="BB41" s="61"/>
      <c r="BC41" s="61"/>
      <c r="BD41" s="61"/>
      <c r="BE41" s="61">
        <v>70.34721133769052</v>
      </c>
      <c r="BF41" s="61">
        <v>40.24738603416612</v>
      </c>
      <c r="BG41" s="61"/>
      <c r="BH41" s="77"/>
      <c r="BI41" s="61"/>
      <c r="BJ41" s="61">
        <v>78.8172773960602</v>
      </c>
      <c r="BK41" s="61"/>
      <c r="BL41" s="77"/>
      <c r="BM41" s="61"/>
      <c r="BN41" s="61"/>
      <c r="BO41" s="61">
        <v>100</v>
      </c>
      <c r="BP41" s="61"/>
      <c r="BQ41" s="62"/>
    </row>
    <row r="42" spans="1:69" ht="15.75">
      <c r="A42" s="18" t="s">
        <v>155</v>
      </c>
      <c r="B42" s="18" t="s">
        <v>18</v>
      </c>
      <c r="C42" s="18" t="s">
        <v>71</v>
      </c>
      <c r="D42" s="18" t="s">
        <v>61</v>
      </c>
      <c r="E42" s="81"/>
      <c r="F42" s="77"/>
      <c r="G42" s="77"/>
      <c r="H42" s="61"/>
      <c r="I42" s="61"/>
      <c r="J42" s="61"/>
      <c r="K42" s="61"/>
      <c r="L42" s="61"/>
      <c r="M42" s="61"/>
      <c r="N42" s="61"/>
      <c r="O42" s="61"/>
      <c r="P42" s="61"/>
      <c r="Q42" s="61"/>
      <c r="R42" s="61"/>
      <c r="S42" s="61"/>
      <c r="T42" s="61"/>
      <c r="U42" s="61">
        <v>4</v>
      </c>
      <c r="V42" s="61"/>
      <c r="W42" s="61"/>
      <c r="X42" s="61"/>
      <c r="Y42" s="61"/>
      <c r="Z42" s="61"/>
      <c r="AA42" s="61"/>
      <c r="AB42" s="61"/>
      <c r="AC42" s="61"/>
      <c r="AD42" s="61">
        <v>10</v>
      </c>
      <c r="AE42" s="61"/>
      <c r="AF42" s="61">
        <v>8</v>
      </c>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77"/>
      <c r="BI42" s="61"/>
      <c r="BJ42" s="61"/>
      <c r="BK42" s="61"/>
      <c r="BL42" s="77"/>
      <c r="BM42" s="61"/>
      <c r="BN42" s="61"/>
      <c r="BO42" s="61"/>
      <c r="BP42" s="61"/>
      <c r="BQ42" s="62"/>
    </row>
    <row r="43" spans="1:69" ht="15.75">
      <c r="A43" s="18" t="s">
        <v>335</v>
      </c>
      <c r="B43" s="18" t="s">
        <v>19</v>
      </c>
      <c r="C43" s="18" t="s">
        <v>71</v>
      </c>
      <c r="D43" s="18" t="s">
        <v>60</v>
      </c>
      <c r="E43" s="81"/>
      <c r="F43" s="77"/>
      <c r="G43" s="77"/>
      <c r="H43" s="61"/>
      <c r="I43" s="61"/>
      <c r="J43" s="61"/>
      <c r="K43" s="61"/>
      <c r="L43" s="61"/>
      <c r="M43" s="61"/>
      <c r="N43" s="61"/>
      <c r="O43" s="61"/>
      <c r="P43" s="61"/>
      <c r="Q43" s="61"/>
      <c r="R43" s="61"/>
      <c r="S43" s="61"/>
      <c r="T43" s="61"/>
      <c r="U43" s="61"/>
      <c r="V43" s="61"/>
      <c r="W43" s="61"/>
      <c r="X43" s="61"/>
      <c r="Y43" s="61"/>
      <c r="Z43" s="61"/>
      <c r="AA43" s="61"/>
      <c r="AB43" s="61">
        <v>5</v>
      </c>
      <c r="AC43" s="61">
        <v>5</v>
      </c>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77"/>
      <c r="BI43" s="61"/>
      <c r="BJ43" s="61"/>
      <c r="BK43" s="61"/>
      <c r="BL43" s="77"/>
      <c r="BM43" s="61"/>
      <c r="BN43" s="61"/>
      <c r="BO43" s="61"/>
      <c r="BP43" s="61"/>
      <c r="BQ43" s="62"/>
    </row>
    <row r="44" spans="1:69" ht="15.75">
      <c r="A44" s="18" t="s">
        <v>154</v>
      </c>
      <c r="B44" s="18" t="s">
        <v>20</v>
      </c>
      <c r="C44" s="18" t="s">
        <v>356</v>
      </c>
      <c r="D44" s="18" t="s">
        <v>62</v>
      </c>
      <c r="E44" s="81"/>
      <c r="F44" s="77"/>
      <c r="G44" s="77"/>
      <c r="H44" s="61"/>
      <c r="I44" s="61"/>
      <c r="J44" s="61"/>
      <c r="K44" s="61"/>
      <c r="L44" s="61"/>
      <c r="M44" s="61"/>
      <c r="N44" s="61"/>
      <c r="O44" s="61"/>
      <c r="P44" s="61"/>
      <c r="Q44" s="61"/>
      <c r="R44" s="61">
        <v>8</v>
      </c>
      <c r="S44" s="61">
        <v>32</v>
      </c>
      <c r="T44" s="61">
        <v>18</v>
      </c>
      <c r="U44" s="61"/>
      <c r="V44" s="61">
        <v>20.077319587628864</v>
      </c>
      <c r="W44" s="61"/>
      <c r="X44" s="61"/>
      <c r="Y44" s="61"/>
      <c r="Z44" s="61"/>
      <c r="AA44" s="61"/>
      <c r="AB44" s="61">
        <v>23</v>
      </c>
      <c r="AC44" s="61">
        <v>23</v>
      </c>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77"/>
      <c r="BI44" s="61"/>
      <c r="BJ44" s="61"/>
      <c r="BK44" s="61"/>
      <c r="BL44" s="77"/>
      <c r="BM44" s="61"/>
      <c r="BN44" s="61"/>
      <c r="BO44" s="61"/>
      <c r="BP44" s="61"/>
      <c r="BQ44" s="62"/>
    </row>
    <row r="45" spans="1:69" ht="15.75">
      <c r="A45" s="18" t="s">
        <v>277</v>
      </c>
      <c r="B45" s="18" t="s">
        <v>21</v>
      </c>
      <c r="C45" s="18" t="s">
        <v>72</v>
      </c>
      <c r="D45" s="18" t="s">
        <v>102</v>
      </c>
      <c r="E45" s="81"/>
      <c r="F45" s="77"/>
      <c r="G45" s="77"/>
      <c r="H45" s="61"/>
      <c r="I45" s="61"/>
      <c r="J45" s="61"/>
      <c r="K45" s="61"/>
      <c r="L45" s="61"/>
      <c r="M45" s="61"/>
      <c r="N45" s="61"/>
      <c r="O45" s="61"/>
      <c r="P45" s="61"/>
      <c r="Q45" s="61"/>
      <c r="R45" s="61">
        <v>4</v>
      </c>
      <c r="S45" s="61"/>
      <c r="T45" s="61"/>
      <c r="U45" s="61"/>
      <c r="V45" s="61"/>
      <c r="W45" s="61"/>
      <c r="X45" s="61"/>
      <c r="Y45" s="61"/>
      <c r="Z45" s="61">
        <v>30</v>
      </c>
      <c r="AA45" s="61">
        <v>28</v>
      </c>
      <c r="AB45" s="61"/>
      <c r="AC45" s="61"/>
      <c r="AD45" s="61"/>
      <c r="AE45" s="61"/>
      <c r="AF45" s="61"/>
      <c r="AG45" s="61">
        <v>14</v>
      </c>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77"/>
      <c r="BI45" s="61"/>
      <c r="BJ45" s="61"/>
      <c r="BK45" s="61"/>
      <c r="BL45" s="77"/>
      <c r="BM45" s="61"/>
      <c r="BN45" s="61"/>
      <c r="BO45" s="61"/>
      <c r="BP45" s="61"/>
      <c r="BQ45" s="62"/>
    </row>
    <row r="46" spans="1:69" ht="15.75">
      <c r="A46" s="18" t="s">
        <v>333</v>
      </c>
      <c r="B46" s="18" t="s">
        <v>22</v>
      </c>
      <c r="C46" s="18" t="s">
        <v>362</v>
      </c>
      <c r="D46" s="18" t="s">
        <v>103</v>
      </c>
      <c r="E46" s="81"/>
      <c r="F46" s="77"/>
      <c r="G46" s="77"/>
      <c r="H46" s="61"/>
      <c r="I46" s="61"/>
      <c r="J46" s="61"/>
      <c r="K46" s="61"/>
      <c r="L46" s="61"/>
      <c r="M46" s="61"/>
      <c r="N46" s="61"/>
      <c r="O46" s="61"/>
      <c r="P46" s="61"/>
      <c r="Q46" s="61">
        <v>14</v>
      </c>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77"/>
      <c r="BI46" s="61"/>
      <c r="BJ46" s="61"/>
      <c r="BK46" s="61"/>
      <c r="BL46" s="77"/>
      <c r="BM46" s="61"/>
      <c r="BN46" s="61"/>
      <c r="BO46" s="61"/>
      <c r="BP46" s="61"/>
      <c r="BQ46" s="62"/>
    </row>
    <row r="47" spans="1:69" ht="15.75">
      <c r="A47" s="18" t="s">
        <v>334</v>
      </c>
      <c r="B47" s="18" t="s">
        <v>23</v>
      </c>
      <c r="C47" s="18" t="s">
        <v>75</v>
      </c>
      <c r="D47" s="18" t="s">
        <v>104</v>
      </c>
      <c r="E47" s="81"/>
      <c r="F47" s="77"/>
      <c r="G47" s="77"/>
      <c r="H47" s="61"/>
      <c r="I47" s="61"/>
      <c r="J47" s="61"/>
      <c r="K47" s="61"/>
      <c r="L47" s="61"/>
      <c r="M47" s="61"/>
      <c r="N47" s="61"/>
      <c r="O47" s="61"/>
      <c r="P47" s="61"/>
      <c r="Q47" s="61">
        <v>13</v>
      </c>
      <c r="R47" s="61">
        <v>18</v>
      </c>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77"/>
      <c r="BI47" s="61"/>
      <c r="BJ47" s="61"/>
      <c r="BK47" s="61"/>
      <c r="BL47" s="77"/>
      <c r="BM47" s="61"/>
      <c r="BN47" s="61"/>
      <c r="BO47" s="61"/>
      <c r="BP47" s="61"/>
      <c r="BQ47" s="62"/>
    </row>
    <row r="48" spans="1:69" ht="15.75">
      <c r="A48" s="18" t="s">
        <v>338</v>
      </c>
      <c r="B48" s="18" t="s">
        <v>24</v>
      </c>
      <c r="C48" s="18" t="s">
        <v>358</v>
      </c>
      <c r="D48" s="18" t="s">
        <v>360</v>
      </c>
      <c r="E48" s="81"/>
      <c r="F48" s="77"/>
      <c r="G48" s="77"/>
      <c r="H48" s="61"/>
      <c r="I48" s="61"/>
      <c r="J48" s="61"/>
      <c r="K48" s="61"/>
      <c r="L48" s="61"/>
      <c r="M48" s="61"/>
      <c r="N48" s="61"/>
      <c r="O48" s="61"/>
      <c r="P48" s="61">
        <v>25</v>
      </c>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77"/>
      <c r="BI48" s="61"/>
      <c r="BJ48" s="61"/>
      <c r="BK48" s="61"/>
      <c r="BL48" s="77"/>
      <c r="BM48" s="61"/>
      <c r="BN48" s="61"/>
      <c r="BO48" s="61"/>
      <c r="BP48" s="61"/>
      <c r="BQ48" s="62"/>
    </row>
    <row r="49" spans="1:69" ht="15.75">
      <c r="A49" s="18" t="s">
        <v>339</v>
      </c>
      <c r="B49" s="18" t="s">
        <v>25</v>
      </c>
      <c r="C49" s="18" t="s">
        <v>357</v>
      </c>
      <c r="D49" s="18" t="s">
        <v>359</v>
      </c>
      <c r="E49" s="81"/>
      <c r="F49" s="77"/>
      <c r="G49" s="77"/>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77"/>
      <c r="BI49" s="61"/>
      <c r="BJ49" s="61"/>
      <c r="BK49" s="61"/>
      <c r="BL49" s="77"/>
      <c r="BM49" s="61"/>
      <c r="BN49" s="61"/>
      <c r="BO49" s="61"/>
      <c r="BP49" s="61"/>
      <c r="BQ49" s="62"/>
    </row>
    <row r="50" spans="1:69" ht="15.75">
      <c r="A50" s="18" t="s">
        <v>173</v>
      </c>
      <c r="B50" s="18" t="s">
        <v>26</v>
      </c>
      <c r="C50" s="18" t="s">
        <v>361</v>
      </c>
      <c r="D50" s="18" t="s">
        <v>105</v>
      </c>
      <c r="E50" s="81"/>
      <c r="F50" s="77"/>
      <c r="G50" s="77"/>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v>6.928783413903873</v>
      </c>
      <c r="BA50" s="61"/>
      <c r="BB50" s="61"/>
      <c r="BC50" s="61"/>
      <c r="BD50" s="61"/>
      <c r="BE50" s="61"/>
      <c r="BF50" s="61"/>
      <c r="BG50" s="61"/>
      <c r="BH50" s="77"/>
      <c r="BI50" s="61"/>
      <c r="BJ50" s="61">
        <v>13.419966125642757</v>
      </c>
      <c r="BK50" s="61"/>
      <c r="BL50" s="77"/>
      <c r="BM50" s="61"/>
      <c r="BN50" s="61"/>
      <c r="BO50" s="61"/>
      <c r="BP50" s="61"/>
      <c r="BQ50" s="62"/>
    </row>
    <row r="51" spans="1:69" ht="15.75">
      <c r="A51" s="18" t="s">
        <v>151</v>
      </c>
      <c r="B51" s="18" t="s">
        <v>106</v>
      </c>
      <c r="C51" s="18" t="s">
        <v>363</v>
      </c>
      <c r="D51" s="65" t="s">
        <v>107</v>
      </c>
      <c r="E51" s="81"/>
      <c r="F51" s="77"/>
      <c r="G51" s="77"/>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77"/>
      <c r="BI51" s="61"/>
      <c r="BJ51" s="61"/>
      <c r="BK51" s="61"/>
      <c r="BL51" s="77"/>
      <c r="BM51" s="61"/>
      <c r="BN51" s="61"/>
      <c r="BO51" s="61"/>
      <c r="BP51" s="61"/>
      <c r="BQ51" s="62"/>
    </row>
    <row r="52" spans="1:69" ht="15.75">
      <c r="A52" s="18" t="s">
        <v>340</v>
      </c>
      <c r="B52" s="18" t="s">
        <v>27</v>
      </c>
      <c r="C52" s="18" t="s">
        <v>73</v>
      </c>
      <c r="D52" s="18" t="s">
        <v>74</v>
      </c>
      <c r="E52" s="81"/>
      <c r="F52" s="77"/>
      <c r="G52" s="77"/>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v>10.680264300580198</v>
      </c>
      <c r="AY52" s="61">
        <v>21.750807218572838</v>
      </c>
      <c r="AZ52" s="61"/>
      <c r="BA52" s="61"/>
      <c r="BB52" s="61"/>
      <c r="BC52" s="61"/>
      <c r="BD52" s="61">
        <v>47.04086498563728</v>
      </c>
      <c r="BE52" s="61">
        <v>21.365717304358473</v>
      </c>
      <c r="BF52" s="61"/>
      <c r="BG52" s="61"/>
      <c r="BH52" s="77"/>
      <c r="BI52" s="61"/>
      <c r="BJ52" s="61"/>
      <c r="BK52" s="61"/>
      <c r="BL52" s="77"/>
      <c r="BM52" s="61"/>
      <c r="BN52" s="61"/>
      <c r="BO52" s="61"/>
      <c r="BP52" s="61">
        <v>32.71491224575446</v>
      </c>
      <c r="BQ52" s="62"/>
    </row>
    <row r="53" spans="1:69" ht="15.75">
      <c r="A53" s="18" t="s">
        <v>341</v>
      </c>
      <c r="B53" s="18" t="s">
        <v>28</v>
      </c>
      <c r="C53" s="18" t="s">
        <v>294</v>
      </c>
      <c r="D53" s="18" t="s">
        <v>63</v>
      </c>
      <c r="E53" s="81"/>
      <c r="F53" s="77"/>
      <c r="G53" s="77"/>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77"/>
      <c r="BI53" s="61"/>
      <c r="BJ53" s="61"/>
      <c r="BK53" s="61"/>
      <c r="BL53" s="77"/>
      <c r="BM53" s="61"/>
      <c r="BN53" s="61"/>
      <c r="BO53" s="61"/>
      <c r="BP53" s="61"/>
      <c r="BQ53" s="62"/>
    </row>
    <row r="54" spans="1:69" ht="15.75">
      <c r="A54" s="18" t="s">
        <v>342</v>
      </c>
      <c r="B54" s="18" t="s">
        <v>29</v>
      </c>
      <c r="C54" s="18" t="s">
        <v>294</v>
      </c>
      <c r="D54" s="18" t="s">
        <v>64</v>
      </c>
      <c r="E54" s="81"/>
      <c r="F54" s="77"/>
      <c r="G54" s="77"/>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77"/>
      <c r="BI54" s="61"/>
      <c r="BJ54" s="61"/>
      <c r="BK54" s="61"/>
      <c r="BL54" s="77"/>
      <c r="BM54" s="61"/>
      <c r="BN54" s="61"/>
      <c r="BO54" s="61"/>
      <c r="BP54" s="61"/>
      <c r="BQ54" s="62"/>
    </row>
    <row r="55" spans="1:69" ht="15.75">
      <c r="A55" s="18" t="s">
        <v>343</v>
      </c>
      <c r="B55" s="18" t="s">
        <v>30</v>
      </c>
      <c r="C55" s="18" t="s">
        <v>295</v>
      </c>
      <c r="D55" s="18" t="s">
        <v>65</v>
      </c>
      <c r="E55" s="81"/>
      <c r="F55" s="77"/>
      <c r="G55" s="77"/>
      <c r="H55" s="61"/>
      <c r="I55" s="61"/>
      <c r="J55" s="61"/>
      <c r="K55" s="61">
        <v>4.5</v>
      </c>
      <c r="L55" s="61">
        <v>1</v>
      </c>
      <c r="M55" s="61"/>
      <c r="N55" s="61"/>
      <c r="O55" s="61"/>
      <c r="P55" s="61">
        <v>2</v>
      </c>
      <c r="Q55" s="61">
        <v>3</v>
      </c>
      <c r="R55" s="61">
        <v>3</v>
      </c>
      <c r="S55" s="61">
        <v>3</v>
      </c>
      <c r="T55" s="61">
        <v>3</v>
      </c>
      <c r="U55" s="61">
        <v>1</v>
      </c>
      <c r="V55" s="61">
        <v>1.7</v>
      </c>
      <c r="W55" s="61"/>
      <c r="X55" s="61"/>
      <c r="Y55" s="61"/>
      <c r="Z55" s="61">
        <v>3</v>
      </c>
      <c r="AA55" s="61">
        <v>3</v>
      </c>
      <c r="AB55" s="61">
        <v>3</v>
      </c>
      <c r="AC55" s="61">
        <v>3</v>
      </c>
      <c r="AD55" s="61">
        <v>2</v>
      </c>
      <c r="AE55" s="61">
        <v>2</v>
      </c>
      <c r="AF55" s="61">
        <v>2</v>
      </c>
      <c r="AG55" s="61">
        <v>2.8</v>
      </c>
      <c r="AH55" s="61">
        <v>2</v>
      </c>
      <c r="AI55" s="61">
        <v>2</v>
      </c>
      <c r="AJ55" s="61">
        <v>2</v>
      </c>
      <c r="AK55" s="61">
        <v>7.490730493565373</v>
      </c>
      <c r="AL55" s="61">
        <v>3.150365750529796</v>
      </c>
      <c r="AM55" s="61">
        <v>3.603048938578494</v>
      </c>
      <c r="AN55" s="61">
        <v>0.7527096907428079</v>
      </c>
      <c r="AO55" s="61">
        <v>1.3186908677714588</v>
      </c>
      <c r="AP55" s="61">
        <v>0.7697566856259187</v>
      </c>
      <c r="AQ55" s="61"/>
      <c r="AR55" s="61">
        <v>2.35915798881077</v>
      </c>
      <c r="AS55" s="61"/>
      <c r="AT55" s="61"/>
      <c r="AU55" s="61"/>
      <c r="AV55" s="61"/>
      <c r="AW55" s="61"/>
      <c r="AX55" s="61"/>
      <c r="AY55" s="61"/>
      <c r="AZ55" s="61"/>
      <c r="BA55" s="61"/>
      <c r="BB55" s="61"/>
      <c r="BC55" s="61"/>
      <c r="BD55" s="61"/>
      <c r="BE55" s="61"/>
      <c r="BF55" s="61"/>
      <c r="BG55" s="61"/>
      <c r="BH55" s="77">
        <v>0.4281518313985198</v>
      </c>
      <c r="BI55" s="61">
        <v>1.0717191916557505</v>
      </c>
      <c r="BJ55" s="61"/>
      <c r="BK55" s="61"/>
      <c r="BL55" s="77"/>
      <c r="BM55" s="61"/>
      <c r="BN55" s="61"/>
      <c r="BO55" s="61"/>
      <c r="BP55" s="61"/>
      <c r="BQ55" s="62"/>
    </row>
    <row r="56" spans="1:69" ht="15.75">
      <c r="A56" s="18" t="s">
        <v>344</v>
      </c>
      <c r="B56" s="18" t="s">
        <v>31</v>
      </c>
      <c r="C56" s="18" t="s">
        <v>296</v>
      </c>
      <c r="D56" s="18" t="s">
        <v>66</v>
      </c>
      <c r="E56" s="81"/>
      <c r="F56" s="77"/>
      <c r="G56" s="77"/>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77"/>
      <c r="BI56" s="61"/>
      <c r="BJ56" s="61"/>
      <c r="BK56" s="61"/>
      <c r="BL56" s="77"/>
      <c r="BM56" s="61"/>
      <c r="BN56" s="61"/>
      <c r="BO56" s="61"/>
      <c r="BP56" s="61"/>
      <c r="BQ56" s="62"/>
    </row>
    <row r="57" spans="1:69" ht="15.75">
      <c r="A57" s="18" t="s">
        <v>345</v>
      </c>
      <c r="B57" s="18" t="s">
        <v>32</v>
      </c>
      <c r="C57" s="18" t="s">
        <v>297</v>
      </c>
      <c r="D57" s="18" t="s">
        <v>67</v>
      </c>
      <c r="E57" s="81">
        <v>1</v>
      </c>
      <c r="F57" s="77"/>
      <c r="G57" s="77"/>
      <c r="H57" s="61"/>
      <c r="I57" s="61"/>
      <c r="J57" s="61"/>
      <c r="K57" s="61"/>
      <c r="L57" s="61">
        <v>1</v>
      </c>
      <c r="M57" s="61"/>
      <c r="N57" s="61"/>
      <c r="O57" s="61"/>
      <c r="P57" s="61">
        <v>4</v>
      </c>
      <c r="Q57" s="61">
        <v>6</v>
      </c>
      <c r="R57" s="61"/>
      <c r="S57" s="61"/>
      <c r="T57" s="61"/>
      <c r="U57" s="61"/>
      <c r="V57" s="61">
        <v>1.8</v>
      </c>
      <c r="W57" s="61">
        <v>1</v>
      </c>
      <c r="X57" s="61">
        <v>1</v>
      </c>
      <c r="Y57" s="61">
        <v>1</v>
      </c>
      <c r="Z57" s="61"/>
      <c r="AA57" s="61"/>
      <c r="AB57" s="61"/>
      <c r="AC57" s="61"/>
      <c r="AD57" s="61"/>
      <c r="AE57" s="61"/>
      <c r="AF57" s="61"/>
      <c r="AG57" s="61"/>
      <c r="AH57" s="61"/>
      <c r="AI57" s="61"/>
      <c r="AJ57" s="61"/>
      <c r="AK57" s="61"/>
      <c r="AL57" s="61">
        <v>3.150365750529796</v>
      </c>
      <c r="AM57" s="61">
        <v>3.603048938578494</v>
      </c>
      <c r="AN57" s="61">
        <v>0.7527096907428079</v>
      </c>
      <c r="AO57" s="61">
        <v>1.3186908677714588</v>
      </c>
      <c r="AP57" s="61">
        <v>0.7697566856259187</v>
      </c>
      <c r="AQ57" s="61"/>
      <c r="AR57" s="61">
        <v>2.35915798881077</v>
      </c>
      <c r="AS57" s="61"/>
      <c r="AT57" s="61"/>
      <c r="AU57" s="61"/>
      <c r="AV57" s="61"/>
      <c r="AW57" s="61"/>
      <c r="AX57" s="61"/>
      <c r="AY57" s="61"/>
      <c r="AZ57" s="61"/>
      <c r="BA57" s="61"/>
      <c r="BB57" s="61"/>
      <c r="BC57" s="61"/>
      <c r="BD57" s="61"/>
      <c r="BE57" s="61"/>
      <c r="BF57" s="61"/>
      <c r="BG57" s="61"/>
      <c r="BH57" s="77">
        <v>0.4281518313985198</v>
      </c>
      <c r="BI57" s="61">
        <v>1.0717191916557505</v>
      </c>
      <c r="BJ57" s="61"/>
      <c r="BK57" s="61"/>
      <c r="BL57" s="77"/>
      <c r="BM57" s="61"/>
      <c r="BN57" s="61"/>
      <c r="BO57" s="61"/>
      <c r="BP57" s="61"/>
      <c r="BQ57" s="62"/>
    </row>
    <row r="58" spans="1:69" ht="15.75">
      <c r="A58" s="18" t="s">
        <v>171</v>
      </c>
      <c r="B58" s="18" t="s">
        <v>33</v>
      </c>
      <c r="C58" s="18" t="s">
        <v>298</v>
      </c>
      <c r="D58" s="18" t="s">
        <v>299</v>
      </c>
      <c r="E58" s="81"/>
      <c r="F58" s="77"/>
      <c r="G58" s="77"/>
      <c r="H58" s="61"/>
      <c r="I58" s="61"/>
      <c r="J58" s="61"/>
      <c r="K58" s="61"/>
      <c r="L58" s="61"/>
      <c r="M58" s="61"/>
      <c r="N58" s="61"/>
      <c r="O58" s="61"/>
      <c r="P58" s="61">
        <v>12</v>
      </c>
      <c r="Q58" s="61">
        <v>5</v>
      </c>
      <c r="R58" s="61"/>
      <c r="S58" s="61"/>
      <c r="T58" s="61"/>
      <c r="U58" s="61"/>
      <c r="V58" s="61">
        <v>4.375</v>
      </c>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77"/>
      <c r="BI58" s="61"/>
      <c r="BJ58" s="61"/>
      <c r="BK58" s="61"/>
      <c r="BL58" s="77"/>
      <c r="BM58" s="61"/>
      <c r="BN58" s="61"/>
      <c r="BO58" s="61"/>
      <c r="BP58" s="61"/>
      <c r="BQ58" s="62"/>
    </row>
    <row r="59" spans="1:69" ht="15.75">
      <c r="A59" s="18" t="s">
        <v>337</v>
      </c>
      <c r="B59" s="18" t="s">
        <v>34</v>
      </c>
      <c r="C59" s="18" t="s">
        <v>298</v>
      </c>
      <c r="D59" s="18" t="s">
        <v>299</v>
      </c>
      <c r="E59" s="81"/>
      <c r="F59" s="77"/>
      <c r="G59" s="77"/>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77"/>
      <c r="BI59" s="61"/>
      <c r="BJ59" s="61"/>
      <c r="BK59" s="61"/>
      <c r="BL59" s="77"/>
      <c r="BM59" s="61"/>
      <c r="BN59" s="61"/>
      <c r="BO59" s="61"/>
      <c r="BP59" s="61"/>
      <c r="BQ59" s="62"/>
    </row>
    <row r="60" spans="1:69" ht="15.75">
      <c r="A60" s="18" t="s">
        <v>596</v>
      </c>
      <c r="B60" s="18" t="s">
        <v>592</v>
      </c>
      <c r="C60" s="18" t="s">
        <v>597</v>
      </c>
      <c r="D60" s="18" t="s">
        <v>299</v>
      </c>
      <c r="E60" s="82"/>
      <c r="F60" s="78"/>
      <c r="G60" s="78"/>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78"/>
      <c r="BI60" s="63"/>
      <c r="BJ60" s="63"/>
      <c r="BK60" s="63"/>
      <c r="BL60" s="78"/>
      <c r="BM60" s="63"/>
      <c r="BN60" s="63"/>
      <c r="BO60" s="63"/>
      <c r="BP60" s="63"/>
      <c r="BQ60" s="64"/>
    </row>
    <row r="61" spans="1:69" ht="15.75">
      <c r="A61" s="60" t="s">
        <v>97</v>
      </c>
      <c r="B61" s="60"/>
      <c r="C61" s="60"/>
      <c r="D61" s="60"/>
      <c r="E61" s="79">
        <f>SUM(E5:E60)</f>
        <v>100</v>
      </c>
      <c r="F61" s="79">
        <f>SUM(F5:F60)</f>
        <v>100</v>
      </c>
      <c r="G61" s="79">
        <f>SUM(G5:G60)</f>
        <v>100</v>
      </c>
      <c r="H61" s="59">
        <f aca="true" t="shared" si="0" ref="H61:BQ61">SUM(H5:H60)</f>
        <v>100</v>
      </c>
      <c r="I61" s="59">
        <f>SUM(I5:I60)</f>
        <v>100.00000000000001</v>
      </c>
      <c r="J61" s="59">
        <f t="shared" si="0"/>
        <v>100.00000000000001</v>
      </c>
      <c r="K61" s="59">
        <f t="shared" si="0"/>
        <v>99.9845656855707</v>
      </c>
      <c r="L61" s="59">
        <f t="shared" si="0"/>
        <v>100</v>
      </c>
      <c r="M61" s="59">
        <f t="shared" si="0"/>
        <v>100</v>
      </c>
      <c r="N61" s="59">
        <f t="shared" si="0"/>
        <v>100</v>
      </c>
      <c r="O61" s="59">
        <f t="shared" si="0"/>
        <v>100</v>
      </c>
      <c r="P61" s="59">
        <f t="shared" si="0"/>
        <v>100</v>
      </c>
      <c r="Q61" s="59">
        <f t="shared" si="0"/>
        <v>100</v>
      </c>
      <c r="R61" s="59">
        <f t="shared" si="0"/>
        <v>100</v>
      </c>
      <c r="S61" s="59">
        <f t="shared" si="0"/>
        <v>100</v>
      </c>
      <c r="T61" s="59">
        <f t="shared" si="0"/>
        <v>100</v>
      </c>
      <c r="U61" s="59">
        <f t="shared" si="0"/>
        <v>100</v>
      </c>
      <c r="V61" s="59">
        <f t="shared" si="0"/>
        <v>99.8944587628866</v>
      </c>
      <c r="W61" s="59">
        <f t="shared" si="0"/>
        <v>100</v>
      </c>
      <c r="X61" s="59">
        <f t="shared" si="0"/>
        <v>100</v>
      </c>
      <c r="Y61" s="59">
        <f t="shared" si="0"/>
        <v>100</v>
      </c>
      <c r="Z61" s="59">
        <f t="shared" si="0"/>
        <v>100</v>
      </c>
      <c r="AA61" s="59">
        <f t="shared" si="0"/>
        <v>100</v>
      </c>
      <c r="AB61" s="59">
        <f t="shared" si="0"/>
        <v>100</v>
      </c>
      <c r="AC61" s="59">
        <f t="shared" si="0"/>
        <v>100</v>
      </c>
      <c r="AD61" s="59">
        <f t="shared" si="0"/>
        <v>100</v>
      </c>
      <c r="AE61" s="59">
        <f t="shared" si="0"/>
        <v>100</v>
      </c>
      <c r="AF61" s="59">
        <f t="shared" si="0"/>
        <v>99.955</v>
      </c>
      <c r="AG61" s="59">
        <f t="shared" si="0"/>
        <v>99.99948979591836</v>
      </c>
      <c r="AH61" s="59">
        <f t="shared" si="0"/>
        <v>100</v>
      </c>
      <c r="AI61" s="59">
        <f t="shared" si="0"/>
        <v>100</v>
      </c>
      <c r="AJ61" s="59">
        <f t="shared" si="0"/>
        <v>100</v>
      </c>
      <c r="AK61" s="59">
        <f t="shared" si="0"/>
        <v>99.99999999999997</v>
      </c>
      <c r="AL61" s="59">
        <f t="shared" si="0"/>
        <v>100</v>
      </c>
      <c r="AM61" s="59">
        <f t="shared" si="0"/>
        <v>100</v>
      </c>
      <c r="AN61" s="59">
        <f t="shared" si="0"/>
        <v>100.00000000000001</v>
      </c>
      <c r="AO61" s="59">
        <f t="shared" si="0"/>
        <v>100.00000000000001</v>
      </c>
      <c r="AP61" s="59">
        <f t="shared" si="0"/>
        <v>100</v>
      </c>
      <c r="AQ61" s="59">
        <f t="shared" si="0"/>
        <v>100</v>
      </c>
      <c r="AR61" s="59">
        <f t="shared" si="0"/>
        <v>100</v>
      </c>
      <c r="AS61" s="59">
        <f t="shared" si="0"/>
        <v>100.00000000000001</v>
      </c>
      <c r="AT61" s="59">
        <f t="shared" si="0"/>
        <v>99.99999999999999</v>
      </c>
      <c r="AU61" s="59">
        <f t="shared" si="0"/>
        <v>100</v>
      </c>
      <c r="AV61" s="59">
        <f t="shared" si="0"/>
        <v>100</v>
      </c>
      <c r="AW61" s="59">
        <f t="shared" si="0"/>
        <v>100</v>
      </c>
      <c r="AX61" s="59">
        <f t="shared" si="0"/>
        <v>100</v>
      </c>
      <c r="AY61" s="59">
        <f t="shared" si="0"/>
        <v>100</v>
      </c>
      <c r="AZ61" s="59">
        <f t="shared" si="0"/>
        <v>100.00000000000001</v>
      </c>
      <c r="BA61" s="59">
        <f t="shared" si="0"/>
        <v>99.99999999999999</v>
      </c>
      <c r="BB61" s="59">
        <f t="shared" si="0"/>
        <v>100</v>
      </c>
      <c r="BC61" s="59">
        <f t="shared" si="0"/>
        <v>100</v>
      </c>
      <c r="BD61" s="59">
        <f t="shared" si="0"/>
        <v>100</v>
      </c>
      <c r="BE61" s="59">
        <f t="shared" si="0"/>
        <v>100</v>
      </c>
      <c r="BF61" s="59">
        <f t="shared" si="0"/>
        <v>100</v>
      </c>
      <c r="BG61" s="59">
        <f t="shared" si="0"/>
        <v>99.99999999999999</v>
      </c>
      <c r="BH61" s="79">
        <f t="shared" si="0"/>
        <v>100.00000000000001</v>
      </c>
      <c r="BI61" s="59">
        <f t="shared" si="0"/>
        <v>100</v>
      </c>
      <c r="BJ61" s="59">
        <f t="shared" si="0"/>
        <v>100</v>
      </c>
      <c r="BK61" s="59">
        <f t="shared" si="0"/>
        <v>100</v>
      </c>
      <c r="BL61" s="79">
        <f t="shared" si="0"/>
        <v>100</v>
      </c>
      <c r="BM61" s="59">
        <f t="shared" si="0"/>
        <v>100</v>
      </c>
      <c r="BN61" s="59">
        <f t="shared" si="0"/>
        <v>100</v>
      </c>
      <c r="BO61" s="59">
        <f t="shared" si="0"/>
        <v>100</v>
      </c>
      <c r="BP61" s="59">
        <f t="shared" si="0"/>
        <v>100</v>
      </c>
      <c r="BQ61" s="59">
        <f t="shared" si="0"/>
        <v>100.00000000000001</v>
      </c>
    </row>
    <row r="63" ht="15"/>
    <row r="64" ht="15"/>
    <row r="65" ht="15"/>
    <row r="66" ht="15"/>
    <row r="67" ht="15"/>
  </sheetData>
  <sheetProtection/>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11"/>
  <dimension ref="A1:BF42"/>
  <sheetViews>
    <sheetView zoomScale="75" zoomScaleNormal="75" zoomScalePageLayoutView="0" workbookViewId="0" topLeftCell="A1">
      <selection activeCell="B2" sqref="B2:AX42"/>
    </sheetView>
  </sheetViews>
  <sheetFormatPr defaultColWidth="8.796875" defaultRowHeight="15"/>
  <sheetData>
    <row r="1" spans="2:58" ht="15.75">
      <c r="B1">
        <v>200</v>
      </c>
      <c r="C1">
        <v>225</v>
      </c>
      <c r="D1">
        <v>250</v>
      </c>
      <c r="E1">
        <v>275</v>
      </c>
      <c r="F1">
        <v>300</v>
      </c>
      <c r="G1">
        <v>325</v>
      </c>
      <c r="H1">
        <v>350</v>
      </c>
      <c r="I1">
        <v>375</v>
      </c>
      <c r="J1">
        <v>400</v>
      </c>
      <c r="K1">
        <v>425</v>
      </c>
      <c r="L1">
        <v>450</v>
      </c>
      <c r="M1">
        <v>475</v>
      </c>
      <c r="N1">
        <v>500</v>
      </c>
      <c r="O1">
        <v>525</v>
      </c>
      <c r="P1">
        <v>550</v>
      </c>
      <c r="Q1">
        <v>575</v>
      </c>
      <c r="R1">
        <v>600</v>
      </c>
      <c r="S1">
        <v>625</v>
      </c>
      <c r="T1">
        <v>650</v>
      </c>
      <c r="U1">
        <v>675</v>
      </c>
      <c r="V1">
        <v>700</v>
      </c>
      <c r="W1">
        <v>725</v>
      </c>
      <c r="X1">
        <v>750</v>
      </c>
      <c r="Y1">
        <v>775</v>
      </c>
      <c r="Z1">
        <v>800</v>
      </c>
      <c r="AA1">
        <v>825</v>
      </c>
      <c r="AB1">
        <v>850</v>
      </c>
      <c r="AC1">
        <v>875</v>
      </c>
      <c r="AD1">
        <v>900</v>
      </c>
      <c r="AE1">
        <v>925</v>
      </c>
      <c r="AF1">
        <v>950</v>
      </c>
      <c r="AG1">
        <v>975</v>
      </c>
      <c r="AH1">
        <v>1000</v>
      </c>
      <c r="AI1">
        <v>1025</v>
      </c>
      <c r="AJ1">
        <v>1050</v>
      </c>
      <c r="AK1">
        <v>1075</v>
      </c>
      <c r="AL1">
        <v>1100</v>
      </c>
      <c r="AM1">
        <v>1125</v>
      </c>
      <c r="AN1">
        <v>1150</v>
      </c>
      <c r="AO1">
        <v>1175</v>
      </c>
      <c r="AP1">
        <v>1200</v>
      </c>
      <c r="AQ1">
        <v>1225</v>
      </c>
      <c r="AR1">
        <v>1250</v>
      </c>
      <c r="AS1">
        <v>1275</v>
      </c>
      <c r="AT1">
        <v>1300</v>
      </c>
      <c r="AU1">
        <v>1325</v>
      </c>
      <c r="AV1">
        <v>1350</v>
      </c>
      <c r="AW1">
        <v>1375</v>
      </c>
      <c r="AX1">
        <v>1400</v>
      </c>
      <c r="AY1">
        <v>1425</v>
      </c>
      <c r="AZ1">
        <v>1450</v>
      </c>
      <c r="BA1">
        <v>1475</v>
      </c>
      <c r="BB1">
        <v>1500</v>
      </c>
      <c r="BC1">
        <v>1525</v>
      </c>
      <c r="BD1">
        <v>1550</v>
      </c>
      <c r="BE1">
        <v>1575</v>
      </c>
      <c r="BF1">
        <v>1600</v>
      </c>
    </row>
    <row r="2" spans="1:58" ht="15.75">
      <c r="A2" s="167">
        <v>0</v>
      </c>
      <c r="B2" s="170">
        <v>7.053717612225035</v>
      </c>
      <c r="C2" s="170"/>
      <c r="D2" s="170"/>
      <c r="E2" s="170"/>
      <c r="F2" s="170">
        <v>5.9398844871682295</v>
      </c>
      <c r="G2" s="170"/>
      <c r="H2" s="170"/>
      <c r="I2" s="170"/>
      <c r="J2" s="170">
        <v>5.831852481786698</v>
      </c>
      <c r="K2" s="170"/>
      <c r="L2" s="170"/>
      <c r="M2" s="170"/>
      <c r="N2" s="170">
        <v>5.680768406707232</v>
      </c>
      <c r="O2" s="170"/>
      <c r="P2" s="170">
        <v>5.443685267908645</v>
      </c>
      <c r="Q2" s="170"/>
      <c r="R2" s="170">
        <v>6.683184964542808</v>
      </c>
      <c r="S2" s="170"/>
      <c r="T2" s="170"/>
      <c r="U2" s="170"/>
      <c r="V2" s="170">
        <v>7.006099692619694</v>
      </c>
      <c r="W2" s="170"/>
      <c r="X2" s="170"/>
      <c r="Y2" s="170"/>
      <c r="Z2" s="170">
        <v>7.14931067339095</v>
      </c>
      <c r="AA2" s="170"/>
      <c r="AB2" s="170"/>
      <c r="AC2" s="170"/>
      <c r="AD2" s="170">
        <v>7.252659014128081</v>
      </c>
      <c r="AE2" s="170"/>
      <c r="AF2" s="170"/>
      <c r="AG2" s="170"/>
      <c r="AH2" s="170">
        <v>7.337749711280112</v>
      </c>
      <c r="AI2" s="170"/>
      <c r="AJ2" s="170"/>
      <c r="AK2" s="170"/>
      <c r="AL2" s="170">
        <v>7.4123673751445605</v>
      </c>
      <c r="AM2" s="170"/>
      <c r="AN2" s="170"/>
      <c r="AO2" s="170"/>
      <c r="AP2" s="170">
        <v>7.283063524296538</v>
      </c>
      <c r="AQ2" s="170"/>
      <c r="AR2" s="170"/>
      <c r="AS2" s="170"/>
      <c r="AT2" s="170"/>
      <c r="AU2" s="170"/>
      <c r="AV2" s="170"/>
      <c r="AW2" s="170"/>
      <c r="AX2" s="170"/>
      <c r="AY2" s="168"/>
      <c r="AZ2" s="168"/>
      <c r="BA2" s="168"/>
      <c r="BB2" s="168"/>
      <c r="BC2" s="168"/>
      <c r="BD2" s="168"/>
      <c r="BE2" s="168"/>
      <c r="BF2" s="168"/>
    </row>
    <row r="3" spans="1:58" ht="15.75">
      <c r="A3" s="167">
        <v>0.2</v>
      </c>
      <c r="B3" s="170">
        <v>6.309501389615777</v>
      </c>
      <c r="C3" s="170">
        <v>8.155610217098111</v>
      </c>
      <c r="D3" s="170">
        <v>8.14343882870848</v>
      </c>
      <c r="E3" s="170">
        <v>8.134667864604888</v>
      </c>
      <c r="F3" s="170">
        <v>8.12163291250338</v>
      </c>
      <c r="G3" s="170">
        <v>8.11288120754312</v>
      </c>
      <c r="H3" s="170">
        <v>8.098899456851683</v>
      </c>
      <c r="I3" s="170">
        <v>8.076192992830633</v>
      </c>
      <c r="J3" s="170">
        <v>8.05808481808069</v>
      </c>
      <c r="K3" s="170">
        <v>8.039880825426902</v>
      </c>
      <c r="L3" s="170">
        <v>7.994987266533528</v>
      </c>
      <c r="M3" s="170">
        <v>7.948783582921011</v>
      </c>
      <c r="N3" s="170">
        <v>6.222006282925168</v>
      </c>
      <c r="O3" s="170">
        <v>7.929146170931786</v>
      </c>
      <c r="P3" s="170">
        <v>7.853999607665049</v>
      </c>
      <c r="Q3" s="170">
        <v>7.836684474906568</v>
      </c>
      <c r="R3" s="170">
        <v>7.835335124007562</v>
      </c>
      <c r="S3" s="170">
        <v>7.791137601160876</v>
      </c>
      <c r="T3" s="170">
        <v>7.776727180053414</v>
      </c>
      <c r="U3" s="170">
        <v>7.7625038213886235</v>
      </c>
      <c r="V3" s="170">
        <v>7.748283314414738</v>
      </c>
      <c r="W3" s="170">
        <v>7.734127897443298</v>
      </c>
      <c r="X3" s="170">
        <v>7.720580463842467</v>
      </c>
      <c r="Y3" s="170">
        <v>7.724882322125111</v>
      </c>
      <c r="Z3" s="170">
        <v>7.695097262120467</v>
      </c>
      <c r="AA3" s="170">
        <v>7.682181906301035</v>
      </c>
      <c r="AB3" s="170">
        <v>7.665633666173627</v>
      </c>
      <c r="AC3" s="170">
        <v>7.654948029199796</v>
      </c>
      <c r="AD3" s="170">
        <v>7.644314835376335</v>
      </c>
      <c r="AE3" s="170">
        <v>7.629374119092383</v>
      </c>
      <c r="AF3" s="170">
        <v>7.617136493505958</v>
      </c>
      <c r="AG3" s="170">
        <v>7.596847399628644</v>
      </c>
      <c r="AH3" s="170">
        <v>7.587182179995559</v>
      </c>
      <c r="AI3" s="170">
        <v>7.567190130026977</v>
      </c>
      <c r="AJ3" s="170">
        <v>7.553078656747733</v>
      </c>
      <c r="AK3" s="170">
        <v>7.538827734185226</v>
      </c>
      <c r="AL3" s="170">
        <v>7.524981875666475</v>
      </c>
      <c r="AM3" s="170">
        <v>7.510934762932761</v>
      </c>
      <c r="AN3" s="170">
        <v>7.496623821890548</v>
      </c>
      <c r="AO3" s="170">
        <v>7.482299179169787</v>
      </c>
      <c r="AP3" s="170">
        <v>7.472256105961416</v>
      </c>
      <c r="AQ3" s="170">
        <v>7.45399652942549</v>
      </c>
      <c r="AR3" s="170">
        <v>7.439438105659159</v>
      </c>
      <c r="AS3" s="170">
        <v>7.425020945851837</v>
      </c>
      <c r="AT3" s="170">
        <v>7.414044093451775</v>
      </c>
      <c r="AU3" s="170">
        <v>7.396285517359292</v>
      </c>
      <c r="AV3" s="170">
        <v>7.381754091013864</v>
      </c>
      <c r="AW3" s="170">
        <v>7.36746581774683</v>
      </c>
      <c r="AX3" s="170">
        <v>7.352547883698339</v>
      </c>
      <c r="AY3" s="168"/>
      <c r="AZ3" s="168"/>
      <c r="BA3" s="168"/>
      <c r="BB3" s="168"/>
      <c r="BC3" s="168"/>
      <c r="BD3" s="168"/>
      <c r="BE3" s="168"/>
      <c r="BF3" s="168"/>
    </row>
    <row r="4" spans="1:58" ht="15.75">
      <c r="A4" s="167">
        <v>0.4</v>
      </c>
      <c r="B4" s="170">
        <v>8.222912677843766</v>
      </c>
      <c r="C4" s="170">
        <v>8.212662823285415</v>
      </c>
      <c r="D4" s="170">
        <v>8.201711235238848</v>
      </c>
      <c r="E4" s="170">
        <v>8.170486271784505</v>
      </c>
      <c r="F4" s="170">
        <v>8.160194492550021</v>
      </c>
      <c r="G4" s="170">
        <v>8.148494951720707</v>
      </c>
      <c r="H4" s="170">
        <v>8.13883249844925</v>
      </c>
      <c r="I4" s="170">
        <v>8.126601194461797</v>
      </c>
      <c r="J4" s="170">
        <v>8.108301536943568</v>
      </c>
      <c r="K4" s="170">
        <v>8.086487981879866</v>
      </c>
      <c r="L4" s="170">
        <v>8.066686575315815</v>
      </c>
      <c r="M4" s="170">
        <v>8.05546669475495</v>
      </c>
      <c r="N4" s="170">
        <v>8.038929451541659</v>
      </c>
      <c r="O4" s="170">
        <v>7.9651754230718215</v>
      </c>
      <c r="P4" s="170">
        <v>6.928236717978846</v>
      </c>
      <c r="Q4" s="170">
        <v>7.936337991639831</v>
      </c>
      <c r="R4" s="170">
        <v>7.9257476681682135</v>
      </c>
      <c r="S4" s="170">
        <v>7.928181738082856</v>
      </c>
      <c r="T4" s="170">
        <v>7.903672954084891</v>
      </c>
      <c r="U4" s="170">
        <v>7.874573663981448</v>
      </c>
      <c r="V4" s="170">
        <v>7.845561170914257</v>
      </c>
      <c r="W4" s="170">
        <v>7.81997416322348</v>
      </c>
      <c r="X4" s="170">
        <v>7.799945794666722</v>
      </c>
      <c r="Y4" s="170">
        <v>7.806511454908084</v>
      </c>
      <c r="Z4" s="170">
        <v>7.7669814084031294</v>
      </c>
      <c r="AA4" s="170">
        <v>7.76614146921939</v>
      </c>
      <c r="AB4" s="170">
        <v>7.727161859693893</v>
      </c>
      <c r="AC4" s="170">
        <v>7.711165986441667</v>
      </c>
      <c r="AD4" s="170">
        <v>7.708651527611286</v>
      </c>
      <c r="AE4" s="170">
        <v>7.683174772415382</v>
      </c>
      <c r="AF4" s="170">
        <v>7.679749922594798</v>
      </c>
      <c r="AG4" s="170">
        <v>7.649056952994706</v>
      </c>
      <c r="AH4" s="170">
        <v>7.725927189466962</v>
      </c>
      <c r="AI4" s="170">
        <v>7.617937909899321</v>
      </c>
      <c r="AJ4" s="170">
        <v>7.602816660053105</v>
      </c>
      <c r="AK4" s="170">
        <v>7.589160832761642</v>
      </c>
      <c r="AL4" s="170">
        <v>7.5753595569031</v>
      </c>
      <c r="AM4" s="170">
        <v>7.5605050922127575</v>
      </c>
      <c r="AN4" s="170">
        <v>7.545656666828567</v>
      </c>
      <c r="AO4" s="170">
        <v>7.53094218481284</v>
      </c>
      <c r="AP4" s="170">
        <v>7.517943591437289</v>
      </c>
      <c r="AQ4" s="170">
        <v>7.501699364021277</v>
      </c>
      <c r="AR4" s="170">
        <v>7.486859236159065</v>
      </c>
      <c r="AS4" s="170">
        <v>7.471608783626445</v>
      </c>
      <c r="AT4" s="170">
        <v>7.457293441633063</v>
      </c>
      <c r="AU4" s="170">
        <v>7.442200052616901</v>
      </c>
      <c r="AV4" s="170">
        <v>7.427368677003563</v>
      </c>
      <c r="AW4" s="170">
        <v>7.412538538482569</v>
      </c>
      <c r="AX4" s="170">
        <v>7.397565958080592</v>
      </c>
      <c r="AY4" s="168"/>
      <c r="AZ4" s="168"/>
      <c r="BA4" s="168"/>
      <c r="BB4" s="168"/>
      <c r="BC4" s="168"/>
      <c r="BD4" s="168"/>
      <c r="BE4" s="168"/>
      <c r="BF4" s="168"/>
    </row>
    <row r="5" spans="1:58" ht="15.75">
      <c r="A5" s="167">
        <v>0.6000000000000001</v>
      </c>
      <c r="B5" s="170">
        <v>6.258959520896341</v>
      </c>
      <c r="C5" s="170">
        <v>8.317552638603821</v>
      </c>
      <c r="D5" s="170">
        <v>8.305925070725262</v>
      </c>
      <c r="E5" s="170">
        <v>8.21211034443355</v>
      </c>
      <c r="F5" s="170">
        <v>6.285885528185693</v>
      </c>
      <c r="G5" s="170">
        <v>8.183424134545714</v>
      </c>
      <c r="H5" s="170">
        <v>6.398047864376676</v>
      </c>
      <c r="I5" s="170">
        <v>8.158341151963548</v>
      </c>
      <c r="J5" s="170">
        <v>8.14546405324553</v>
      </c>
      <c r="K5" s="170">
        <v>8.132302122732046</v>
      </c>
      <c r="L5" s="170">
        <v>8.105337533662317</v>
      </c>
      <c r="M5" s="170">
        <v>8.095946158623526</v>
      </c>
      <c r="N5" s="170">
        <v>8.070141092694143</v>
      </c>
      <c r="O5" s="170">
        <v>8.061014488786602</v>
      </c>
      <c r="P5" s="170">
        <v>6.138673327308261</v>
      </c>
      <c r="Q5" s="170">
        <v>8.027526856898982</v>
      </c>
      <c r="R5" s="170">
        <v>8.015979558694934</v>
      </c>
      <c r="S5" s="170">
        <v>8.00151985732675</v>
      </c>
      <c r="T5" s="170">
        <v>7.983716014225426</v>
      </c>
      <c r="U5" s="170">
        <v>7.961689252981559</v>
      </c>
      <c r="V5" s="170">
        <v>6.603141815020736</v>
      </c>
      <c r="W5" s="170">
        <v>7.923193921898123</v>
      </c>
      <c r="X5" s="170">
        <v>6.1923865280979316</v>
      </c>
      <c r="Y5" s="170">
        <v>7.860037486011714</v>
      </c>
      <c r="Z5" s="170">
        <v>7.863407641681957</v>
      </c>
      <c r="AA5" s="170">
        <v>7.8426866850474255</v>
      </c>
      <c r="AB5" s="170">
        <v>7.823571553021292</v>
      </c>
      <c r="AC5" s="170">
        <v>7.8030290611468605</v>
      </c>
      <c r="AD5" s="170">
        <v>7.78135086341827</v>
      </c>
      <c r="AE5" s="170">
        <v>7.757887400270571</v>
      </c>
      <c r="AF5" s="170">
        <v>7.738356431264055</v>
      </c>
      <c r="AG5" s="170">
        <v>7.726230640769677</v>
      </c>
      <c r="AH5" s="170">
        <v>7.712998677935055</v>
      </c>
      <c r="AI5" s="170">
        <v>7.690661944713793</v>
      </c>
      <c r="AJ5" s="170">
        <v>7.6735382201733735</v>
      </c>
      <c r="AK5" s="170">
        <v>7.656565455630178</v>
      </c>
      <c r="AL5" s="170">
        <v>7.639976085220634</v>
      </c>
      <c r="AM5" s="170">
        <v>7.623458400385589</v>
      </c>
      <c r="AN5" s="170">
        <v>7.60668113563557</v>
      </c>
      <c r="AO5" s="170">
        <v>7.590732189813864</v>
      </c>
      <c r="AP5" s="170">
        <v>7.574393946359656</v>
      </c>
      <c r="AQ5" s="170">
        <v>7.558391653776714</v>
      </c>
      <c r="AR5" s="170">
        <v>7.542443602580116</v>
      </c>
      <c r="AS5" s="170">
        <v>7.526245764066384</v>
      </c>
      <c r="AT5" s="170">
        <v>7.51117126838708</v>
      </c>
      <c r="AU5" s="170">
        <v>7.494724598991415</v>
      </c>
      <c r="AV5" s="170">
        <v>7.478821337387</v>
      </c>
      <c r="AW5" s="170">
        <v>7.463045124330278</v>
      </c>
      <c r="AX5" s="170">
        <v>7.447320677313004</v>
      </c>
      <c r="AY5" s="168"/>
      <c r="AZ5" s="168"/>
      <c r="BA5" s="168"/>
      <c r="BB5" s="168"/>
      <c r="BC5" s="168"/>
      <c r="BD5" s="168"/>
      <c r="BE5" s="168"/>
      <c r="BF5" s="168"/>
    </row>
    <row r="6" spans="1:58" ht="15.75">
      <c r="A6" s="167">
        <v>0.8</v>
      </c>
      <c r="B6" s="170">
        <v>8.2607406348671</v>
      </c>
      <c r="C6" s="170">
        <v>8.250770717236113</v>
      </c>
      <c r="D6" s="170">
        <v>8.24043074757008</v>
      </c>
      <c r="E6" s="170">
        <v>8.231507011777767</v>
      </c>
      <c r="F6" s="170">
        <v>8.220725365203299</v>
      </c>
      <c r="G6" s="170">
        <v>8.203129979669484</v>
      </c>
      <c r="H6" s="170">
        <v>8.190837224090071</v>
      </c>
      <c r="I6" s="170">
        <v>8.178196387296568</v>
      </c>
      <c r="J6" s="170">
        <v>8.165354622376173</v>
      </c>
      <c r="K6" s="170">
        <v>8.15221597127228</v>
      </c>
      <c r="L6" s="170">
        <v>8.140203626778296</v>
      </c>
      <c r="M6" s="170">
        <v>8.126574135667584</v>
      </c>
      <c r="N6" s="170">
        <v>8.107089681510375</v>
      </c>
      <c r="O6" s="170">
        <v>8.093987012694015</v>
      </c>
      <c r="P6" s="170">
        <v>8.08209565630409</v>
      </c>
      <c r="Q6" s="170">
        <v>8.068866572051165</v>
      </c>
      <c r="R6" s="170">
        <v>8.044041058965053</v>
      </c>
      <c r="S6" s="170">
        <v>8.040941580989154</v>
      </c>
      <c r="T6" s="170">
        <v>8.024660835464882</v>
      </c>
      <c r="U6" s="170">
        <v>8.009232052998499</v>
      </c>
      <c r="V6" s="170">
        <v>7.993678172680533</v>
      </c>
      <c r="W6" s="170">
        <v>7.977944854017498</v>
      </c>
      <c r="X6" s="170">
        <v>7.961589022387325</v>
      </c>
      <c r="Y6" s="170">
        <v>7.926019765991386</v>
      </c>
      <c r="Z6" s="170">
        <v>6.6641387878284934</v>
      </c>
      <c r="AA6" s="170">
        <v>7.89473097365935</v>
      </c>
      <c r="AB6" s="170">
        <v>7.884365925660518</v>
      </c>
      <c r="AC6" s="170">
        <v>7.865890111386362</v>
      </c>
      <c r="AD6" s="170">
        <v>7.847086330870986</v>
      </c>
      <c r="AE6" s="170">
        <v>7.8285687232789725</v>
      </c>
      <c r="AF6" s="170">
        <v>7.809981074511215</v>
      </c>
      <c r="AG6" s="170">
        <v>7.784220760689331</v>
      </c>
      <c r="AH6" s="170">
        <v>6.523391445639362</v>
      </c>
      <c r="AI6" s="170">
        <v>7.758243272693758</v>
      </c>
      <c r="AJ6" s="170">
        <v>7.736473243837366</v>
      </c>
      <c r="AK6" s="170">
        <v>7.717961933586619</v>
      </c>
      <c r="AL6" s="170">
        <v>7.6982948729094485</v>
      </c>
      <c r="AM6" s="170">
        <v>7.68009833128185</v>
      </c>
      <c r="AN6" s="170">
        <v>7.66205907925044</v>
      </c>
      <c r="AO6" s="170">
        <v>7.64373672261961</v>
      </c>
      <c r="AP6" s="170">
        <v>7.6274790532523085</v>
      </c>
      <c r="AQ6" s="170">
        <v>7.613277736731732</v>
      </c>
      <c r="AR6" s="170">
        <v>7.596065101915285</v>
      </c>
      <c r="AS6" s="170">
        <v>7.579193646800643</v>
      </c>
      <c r="AT6" s="170">
        <v>7.558807908579358</v>
      </c>
      <c r="AU6" s="170">
        <v>7.543454861848318</v>
      </c>
      <c r="AV6" s="170">
        <v>7.528756514136726</v>
      </c>
      <c r="AW6" s="170">
        <v>7.512227072368559</v>
      </c>
      <c r="AX6" s="170">
        <v>7.495769189737789</v>
      </c>
      <c r="AY6" s="168"/>
      <c r="AZ6" s="168"/>
      <c r="BA6" s="168"/>
      <c r="BB6" s="168"/>
      <c r="BC6" s="168"/>
      <c r="BD6" s="168"/>
      <c r="BE6" s="168"/>
      <c r="BF6" s="168"/>
    </row>
    <row r="7" spans="1:58" ht="15.75">
      <c r="A7" s="167">
        <v>1</v>
      </c>
      <c r="B7" s="170">
        <v>8.044554594170505</v>
      </c>
      <c r="C7" s="170">
        <v>8.270010460774008</v>
      </c>
      <c r="D7" s="170">
        <v>8.259617159712118</v>
      </c>
      <c r="E7" s="170">
        <v>8.250873077071741</v>
      </c>
      <c r="F7" s="170">
        <v>8.240106013796861</v>
      </c>
      <c r="G7" s="170">
        <v>8.310794562205155</v>
      </c>
      <c r="H7" s="170">
        <v>8.21033387431627</v>
      </c>
      <c r="I7" s="170">
        <v>8.285727367868448</v>
      </c>
      <c r="J7" s="170">
        <v>8.185092240334553</v>
      </c>
      <c r="K7" s="170">
        <v>8.259985490662528</v>
      </c>
      <c r="L7" s="170">
        <v>6.43469153574545</v>
      </c>
      <c r="M7" s="170">
        <v>8.23365335790608</v>
      </c>
      <c r="N7" s="170">
        <v>8.13267667019844</v>
      </c>
      <c r="O7" s="170">
        <v>8.11870074223463</v>
      </c>
      <c r="P7" s="170">
        <v>8.10453448470311</v>
      </c>
      <c r="Q7" s="170">
        <v>8.090210770093956</v>
      </c>
      <c r="R7" s="170">
        <v>8.165679780086839</v>
      </c>
      <c r="S7" s="170">
        <v>8.061186276691947</v>
      </c>
      <c r="T7" s="170">
        <v>8.046425144024674</v>
      </c>
      <c r="U7" s="170">
        <v>6.15971492234045</v>
      </c>
      <c r="V7" s="170">
        <v>8.01665650616466</v>
      </c>
      <c r="W7" s="170">
        <v>8.001599997704327</v>
      </c>
      <c r="X7" s="170">
        <v>7.986417670334688</v>
      </c>
      <c r="Y7" s="170">
        <v>7.967268016190608</v>
      </c>
      <c r="Z7" s="170">
        <v>6.01476649947311</v>
      </c>
      <c r="AA7" s="170">
        <v>7.933109452773087</v>
      </c>
      <c r="AB7" s="170">
        <v>6.835749635334832</v>
      </c>
      <c r="AC7" s="170">
        <v>7.757456407074283</v>
      </c>
      <c r="AD7" s="170">
        <v>6.15919092583478</v>
      </c>
      <c r="AE7" s="170">
        <v>7.424868543628159</v>
      </c>
      <c r="AF7" s="170">
        <v>8.011121817098553</v>
      </c>
      <c r="AG7" s="170">
        <v>7.722579728966483</v>
      </c>
      <c r="AH7" s="170">
        <v>9.3887721225607</v>
      </c>
      <c r="AI7" s="170">
        <v>7.795148298285675</v>
      </c>
      <c r="AJ7" s="170">
        <v>7.9897427865805515</v>
      </c>
      <c r="AK7" s="170">
        <v>7.766910000577283</v>
      </c>
      <c r="AL7" s="170">
        <v>7.725078184473531</v>
      </c>
      <c r="AM7" s="170">
        <v>7.731619891315524</v>
      </c>
      <c r="AN7" s="170">
        <v>7.777244605739281</v>
      </c>
      <c r="AO7" s="170">
        <v>7.6962763776531515</v>
      </c>
      <c r="AP7" s="170">
        <v>8.026250268890124</v>
      </c>
      <c r="AQ7" s="170">
        <v>7.660281066325957</v>
      </c>
      <c r="AR7" s="170">
        <v>7.642751238265781</v>
      </c>
      <c r="AS7" s="170">
        <v>7.6248814693088836</v>
      </c>
      <c r="AT7" s="170">
        <v>7.608125420758052</v>
      </c>
      <c r="AU7" s="170">
        <v>7.590958668098107</v>
      </c>
      <c r="AV7" s="170">
        <v>7.573626256377175</v>
      </c>
      <c r="AW7" s="170">
        <v>7.556513293420252</v>
      </c>
      <c r="AX7" s="170">
        <v>7.539456958581009</v>
      </c>
      <c r="AY7" s="168"/>
      <c r="AZ7" s="168"/>
      <c r="BA7" s="168"/>
      <c r="BB7" s="168"/>
      <c r="BC7" s="168"/>
      <c r="BD7" s="168"/>
      <c r="BE7" s="168"/>
      <c r="BF7" s="168"/>
    </row>
    <row r="8" spans="1:58" ht="15.75">
      <c r="A8" s="167">
        <v>1.2000000000000002</v>
      </c>
      <c r="B8" s="170">
        <v>8.29300891167896</v>
      </c>
      <c r="C8" s="170">
        <v>8.288002984182398</v>
      </c>
      <c r="D8" s="170">
        <v>8.27598304199241</v>
      </c>
      <c r="E8" s="170">
        <v>8.269116605209785</v>
      </c>
      <c r="F8" s="170">
        <v>8.259269139875082</v>
      </c>
      <c r="G8" s="170">
        <v>8.24183140732379</v>
      </c>
      <c r="H8" s="170">
        <v>8.229681383125172</v>
      </c>
      <c r="I8" s="170">
        <v>8.217159260595562</v>
      </c>
      <c r="J8" s="170">
        <v>8.20442037174449</v>
      </c>
      <c r="K8" s="170">
        <v>8.191365544483707</v>
      </c>
      <c r="L8" s="170">
        <v>8.178233326869279</v>
      </c>
      <c r="M8" s="170">
        <v>8.166084342413289</v>
      </c>
      <c r="N8" s="170">
        <v>8.152323962101626</v>
      </c>
      <c r="O8" s="170">
        <v>8.138476423066185</v>
      </c>
      <c r="P8" s="170">
        <v>8.124339795784561</v>
      </c>
      <c r="Q8" s="170">
        <v>8.110077247019605</v>
      </c>
      <c r="R8" s="170">
        <v>8.095777493146919</v>
      </c>
      <c r="S8" s="170">
        <v>8.172498105056924</v>
      </c>
      <c r="T8" s="170">
        <v>8.158535414599115</v>
      </c>
      <c r="U8" s="170">
        <v>8.051753043208466</v>
      </c>
      <c r="V8" s="170">
        <v>8.13035901870539</v>
      </c>
      <c r="W8" s="170">
        <v>8.021869193085374</v>
      </c>
      <c r="X8" s="170">
        <v>8.006766277436618</v>
      </c>
      <c r="Y8" s="170">
        <v>7.99152077760183</v>
      </c>
      <c r="Z8" s="170">
        <v>6.107315559641416</v>
      </c>
      <c r="AA8" s="170">
        <v>7.9608840935929495</v>
      </c>
      <c r="AB8" s="170">
        <v>7.945484318373536</v>
      </c>
      <c r="AC8" s="170">
        <v>7.929985968268132</v>
      </c>
      <c r="AD8" s="170">
        <v>6.9217356820697225</v>
      </c>
      <c r="AE8" s="170">
        <v>7.898828100708497</v>
      </c>
      <c r="AF8" s="170">
        <v>7.883126341074971</v>
      </c>
      <c r="AG8" s="170">
        <v>7.867384013408719</v>
      </c>
      <c r="AH8" s="170">
        <v>7.1646942888279685</v>
      </c>
      <c r="AI8" s="170">
        <v>7.835740153989631</v>
      </c>
      <c r="AJ8" s="170">
        <v>7.819814221468764</v>
      </c>
      <c r="AK8" s="170">
        <v>7.803282429597191</v>
      </c>
      <c r="AL8" s="170">
        <v>7.9891084446327305</v>
      </c>
      <c r="AM8" s="170">
        <v>7.770853919192371</v>
      </c>
      <c r="AN8" s="170">
        <v>7.754245589127065</v>
      </c>
      <c r="AO8" s="170">
        <v>7.737569646703629</v>
      </c>
      <c r="AP8" s="170">
        <v>7.715351788706927</v>
      </c>
      <c r="AQ8" s="170">
        <v>7.699457169811173</v>
      </c>
      <c r="AR8" s="170">
        <v>7.682892203743396</v>
      </c>
      <c r="AS8" s="170">
        <v>7.668931984196443</v>
      </c>
      <c r="AT8" s="170">
        <v>7.651861943013545</v>
      </c>
      <c r="AU8" s="170">
        <v>7.633854612123435</v>
      </c>
      <c r="AV8" s="170">
        <v>7.6159835421683555</v>
      </c>
      <c r="AW8" s="170">
        <v>7.598932699604348</v>
      </c>
      <c r="AX8" s="170">
        <v>7.581213321607763</v>
      </c>
      <c r="AY8" s="168"/>
      <c r="AZ8" s="168"/>
      <c r="BA8" s="168"/>
      <c r="BB8" s="168"/>
      <c r="BC8" s="168"/>
      <c r="BD8" s="168"/>
      <c r="BE8" s="168"/>
      <c r="BF8" s="168"/>
    </row>
    <row r="9" spans="1:58" ht="15.75">
      <c r="A9" s="167">
        <v>1.4000000000000001</v>
      </c>
      <c r="B9" s="170">
        <v>8.314776603338395</v>
      </c>
      <c r="C9" s="170">
        <v>8.295120562143945</v>
      </c>
      <c r="D9" s="170">
        <v>8.313874733107804</v>
      </c>
      <c r="E9" s="170">
        <v>8.328231554196783</v>
      </c>
      <c r="F9" s="170">
        <v>8.308035692597775</v>
      </c>
      <c r="G9" s="170">
        <v>8.29096442775035</v>
      </c>
      <c r="H9" s="170">
        <v>8.261220068823347</v>
      </c>
      <c r="I9" s="170">
        <v>8.25290269965671</v>
      </c>
      <c r="J9" s="170">
        <v>8.239784647034265</v>
      </c>
      <c r="K9" s="170">
        <v>8.224981511582824</v>
      </c>
      <c r="L9" s="170">
        <v>8.21344034148104</v>
      </c>
      <c r="M9" s="170">
        <v>8.195975370408927</v>
      </c>
      <c r="N9" s="170">
        <v>8.183925128687271</v>
      </c>
      <c r="O9" s="170">
        <v>8.16356942454831</v>
      </c>
      <c r="P9" s="170">
        <v>8.150563898882101</v>
      </c>
      <c r="Q9" s="170">
        <v>8.133237547651534</v>
      </c>
      <c r="R9" s="170">
        <v>8.115630794255503</v>
      </c>
      <c r="S9" s="170">
        <v>8.101102881039829</v>
      </c>
      <c r="T9" s="170">
        <v>8.08632544873019</v>
      </c>
      <c r="U9" s="170">
        <v>8.071614759361129</v>
      </c>
      <c r="V9" s="170">
        <v>8.056781978474776</v>
      </c>
      <c r="W9" s="170">
        <v>8.04186011284334</v>
      </c>
      <c r="X9" s="170">
        <v>8.026803688635011</v>
      </c>
      <c r="Y9" s="170">
        <v>8.01166472406472</v>
      </c>
      <c r="Z9" s="170">
        <v>7.996463138110034</v>
      </c>
      <c r="AA9" s="170">
        <v>7.981154021775333</v>
      </c>
      <c r="AB9" s="170">
        <v>7.965807177949858</v>
      </c>
      <c r="AC9" s="170">
        <v>7.950350101919782</v>
      </c>
      <c r="AD9" s="170">
        <v>7.934864047277874</v>
      </c>
      <c r="AE9" s="170">
        <v>7.9193271553111835</v>
      </c>
      <c r="AF9" s="170">
        <v>7.903720845307534</v>
      </c>
      <c r="AG9" s="170">
        <v>7.888047904948124</v>
      </c>
      <c r="AH9" s="170">
        <v>7.872327394672522</v>
      </c>
      <c r="AI9" s="170">
        <v>7.856645395659036</v>
      </c>
      <c r="AJ9" s="170">
        <v>7.840855749847146</v>
      </c>
      <c r="AK9" s="170">
        <v>7.82503830001754</v>
      </c>
      <c r="AL9" s="170">
        <v>6.604597083845353</v>
      </c>
      <c r="AM9" s="170">
        <v>7.793278183563961</v>
      </c>
      <c r="AN9" s="170">
        <v>7.777303087282195</v>
      </c>
      <c r="AO9" s="170">
        <v>7.761377477346573</v>
      </c>
      <c r="AP9" s="170">
        <v>7.74210201630799</v>
      </c>
      <c r="AQ9" s="170">
        <v>7.729322268213226</v>
      </c>
      <c r="AR9" s="170">
        <v>7.713287299567829</v>
      </c>
      <c r="AS9" s="170">
        <v>7.697235551506404</v>
      </c>
      <c r="AT9" s="170">
        <v>7.679271086908274</v>
      </c>
      <c r="AU9" s="170">
        <v>7.66486359857103</v>
      </c>
      <c r="AV9" s="170">
        <v>7.647427524710498</v>
      </c>
      <c r="AW9" s="170">
        <v>7.6325481825903685</v>
      </c>
      <c r="AX9" s="170">
        <v>7.616230050980124</v>
      </c>
      <c r="AY9" s="168"/>
      <c r="AZ9" s="168"/>
      <c r="BA9" s="168"/>
      <c r="BB9" s="168"/>
      <c r="BC9" s="168"/>
      <c r="BD9" s="168"/>
      <c r="BE9" s="168"/>
      <c r="BF9" s="168"/>
    </row>
    <row r="10" spans="1:58" ht="15.75">
      <c r="A10" s="167">
        <v>1.6</v>
      </c>
      <c r="B10" s="170">
        <v>8.424349040849476</v>
      </c>
      <c r="C10" s="170">
        <v>8.408925066459716</v>
      </c>
      <c r="D10" s="170">
        <v>8.394002585408964</v>
      </c>
      <c r="E10" s="170">
        <v>8.379617586135602</v>
      </c>
      <c r="F10" s="170">
        <v>8.365401727609216</v>
      </c>
      <c r="G10" s="170">
        <v>8.351788424786685</v>
      </c>
      <c r="H10" s="170">
        <v>8.337626372307113</v>
      </c>
      <c r="I10" s="170">
        <v>8.28884032571887</v>
      </c>
      <c r="J10" s="170">
        <v>8.295293756148803</v>
      </c>
      <c r="K10" s="170">
        <v>8.282666639767509</v>
      </c>
      <c r="L10" s="170">
        <v>8.268560367865557</v>
      </c>
      <c r="M10" s="170">
        <v>8.274540605315112</v>
      </c>
      <c r="N10" s="170">
        <v>8.226049847458206</v>
      </c>
      <c r="O10" s="170">
        <v>8.208396682874866</v>
      </c>
      <c r="P10" s="170">
        <v>8.234283570717993</v>
      </c>
      <c r="Q10" s="170">
        <v>8.178849589308063</v>
      </c>
      <c r="R10" s="170">
        <v>8.160654426195086</v>
      </c>
      <c r="S10" s="170">
        <v>8.193059332298258</v>
      </c>
      <c r="T10" s="170">
        <v>8.179130888027514</v>
      </c>
      <c r="U10" s="170">
        <v>8.118203597672842</v>
      </c>
      <c r="V10" s="170">
        <v>8.15102406649574</v>
      </c>
      <c r="W10" s="170">
        <v>8.08134347832815</v>
      </c>
      <c r="X10" s="170">
        <v>8.060854376600842</v>
      </c>
      <c r="Y10" s="170">
        <v>8.041724063933975</v>
      </c>
      <c r="Z10" s="170">
        <v>8.093932264774175</v>
      </c>
      <c r="AA10" s="170">
        <v>8.004641171048029</v>
      </c>
      <c r="AB10" s="170">
        <v>7.985855861933096</v>
      </c>
      <c r="AC10" s="170">
        <v>7.97052191356555</v>
      </c>
      <c r="AD10" s="170">
        <v>5.9230162553365195</v>
      </c>
      <c r="AE10" s="170">
        <v>7.939553502618905</v>
      </c>
      <c r="AF10" s="170">
        <v>6.8883729856658995</v>
      </c>
      <c r="AG10" s="170">
        <v>7.04014911214286</v>
      </c>
      <c r="AH10" s="170">
        <v>7.892719627836907</v>
      </c>
      <c r="AI10" s="170">
        <v>7.441682092896094</v>
      </c>
      <c r="AJ10" s="170">
        <v>8.035979534520866</v>
      </c>
      <c r="AK10" s="170">
        <v>7.845586882843792</v>
      </c>
      <c r="AL10" s="170">
        <v>8.022721258966621</v>
      </c>
      <c r="AM10" s="170">
        <v>7.814016355708229</v>
      </c>
      <c r="AN10" s="170">
        <v>7.798185097534735</v>
      </c>
      <c r="AO10" s="170">
        <v>7.782318019121103</v>
      </c>
      <c r="AP10" s="170">
        <v>7.766400382593377</v>
      </c>
      <c r="AQ10" s="170">
        <v>7.750463918416449</v>
      </c>
      <c r="AR10" s="170">
        <v>7.737602696551625</v>
      </c>
      <c r="AS10" s="170">
        <v>7.721608293074657</v>
      </c>
      <c r="AT10" s="170">
        <v>7.705664073552496</v>
      </c>
      <c r="AU10" s="170">
        <v>7.68967808728865</v>
      </c>
      <c r="AV10" s="170">
        <v>7.673689912103169</v>
      </c>
      <c r="AW10" s="170">
        <v>7.6577059414308195</v>
      </c>
      <c r="AX10" s="170">
        <v>7.641674445656442</v>
      </c>
      <c r="AY10" s="168"/>
      <c r="AZ10" s="168"/>
      <c r="BA10" s="168"/>
      <c r="BB10" s="168"/>
      <c r="BC10" s="168"/>
      <c r="BD10" s="168"/>
      <c r="BE10" s="168"/>
      <c r="BF10" s="168"/>
    </row>
    <row r="11" spans="1:58" ht="15.75">
      <c r="A11" s="167">
        <v>1.8</v>
      </c>
      <c r="B11" s="170">
        <v>8.444059617614666</v>
      </c>
      <c r="C11" s="170">
        <v>8.428915503726794</v>
      </c>
      <c r="D11" s="170">
        <v>8.414238227527724</v>
      </c>
      <c r="E11" s="170">
        <v>8.397694167848536</v>
      </c>
      <c r="F11" s="170">
        <v>8.384173528913504</v>
      </c>
      <c r="G11" s="170">
        <v>8.370791971982616</v>
      </c>
      <c r="H11" s="170">
        <v>8.350671279967896</v>
      </c>
      <c r="I11" s="170">
        <v>8.335515921178581</v>
      </c>
      <c r="J11" s="170">
        <v>8.320982877167996</v>
      </c>
      <c r="K11" s="170">
        <v>8.304848913053533</v>
      </c>
      <c r="L11" s="170">
        <v>8.28879251253358</v>
      </c>
      <c r="M11" s="170">
        <v>8.274920011692544</v>
      </c>
      <c r="N11" s="170">
        <v>8.260573623055103</v>
      </c>
      <c r="O11" s="170">
        <v>8.246895369930698</v>
      </c>
      <c r="P11" s="170">
        <v>8.231584151718396</v>
      </c>
      <c r="Q11" s="170">
        <v>8.21756557128462</v>
      </c>
      <c r="R11" s="170">
        <v>8.20098690127512</v>
      </c>
      <c r="S11" s="170">
        <v>8.183895855843042</v>
      </c>
      <c r="T11" s="170">
        <v>8.167674538905846</v>
      </c>
      <c r="U11" s="170">
        <v>8.185584682051234</v>
      </c>
      <c r="V11" s="170">
        <v>7.892911139844377</v>
      </c>
      <c r="W11" s="170">
        <v>8.111062375995026</v>
      </c>
      <c r="X11" s="170">
        <v>8.131068208968268</v>
      </c>
      <c r="Y11" s="170">
        <v>8.07814190408662</v>
      </c>
      <c r="Z11" s="170">
        <v>8.060390878093612</v>
      </c>
      <c r="AA11" s="170">
        <v>8.045962950642275</v>
      </c>
      <c r="AB11" s="170">
        <v>8.023386264751895</v>
      </c>
      <c r="AC11" s="170">
        <v>8.008139094046538</v>
      </c>
      <c r="AD11" s="170">
        <v>8.056650709649618</v>
      </c>
      <c r="AE11" s="170">
        <v>7.9700846433470804</v>
      </c>
      <c r="AF11" s="170">
        <v>7.949097481668537</v>
      </c>
      <c r="AG11" s="170">
        <v>7.928542865385816</v>
      </c>
      <c r="AH11" s="170">
        <v>8.065821112234689</v>
      </c>
      <c r="AI11" s="170">
        <v>7.897316845635176</v>
      </c>
      <c r="AJ11" s="170">
        <v>7.881673981654851</v>
      </c>
      <c r="AK11" s="170">
        <v>7.865921757439017</v>
      </c>
      <c r="AL11" s="170">
        <v>7.850225814083785</v>
      </c>
      <c r="AM11" s="170">
        <v>7.834469474320559</v>
      </c>
      <c r="AN11" s="170">
        <v>7.818701332664765</v>
      </c>
      <c r="AO11" s="170">
        <v>7.8028856259019985</v>
      </c>
      <c r="AP11" s="170">
        <v>7.78705419839271</v>
      </c>
      <c r="AQ11" s="170">
        <v>7.77124063567576</v>
      </c>
      <c r="AR11" s="170">
        <v>7.758208271362021</v>
      </c>
      <c r="AS11" s="170">
        <v>7.7422886150979835</v>
      </c>
      <c r="AT11" s="170">
        <v>7.72637718967413</v>
      </c>
      <c r="AU11" s="170">
        <v>7.7104438205179635</v>
      </c>
      <c r="AV11" s="170">
        <v>7.6945271084443405</v>
      </c>
      <c r="AW11" s="170">
        <v>7.678545077594481</v>
      </c>
      <c r="AX11" s="170">
        <v>7.662588129885544</v>
      </c>
      <c r="AY11" s="168"/>
      <c r="AZ11" s="168"/>
      <c r="BA11" s="168"/>
      <c r="BB11" s="168"/>
      <c r="BC11" s="168"/>
      <c r="BD11" s="168"/>
      <c r="BE11" s="168"/>
      <c r="BF11" s="168"/>
    </row>
    <row r="12" spans="1:58" ht="15.75">
      <c r="A12" s="167">
        <v>2</v>
      </c>
      <c r="B12" s="170">
        <v>6.872303051958784</v>
      </c>
      <c r="C12" s="170">
        <v>8.44634841166052</v>
      </c>
      <c r="D12" s="170">
        <v>8.432192952682902</v>
      </c>
      <c r="E12" s="170">
        <v>8.41798464041975</v>
      </c>
      <c r="F12" s="170">
        <v>8.4044304822369</v>
      </c>
      <c r="G12" s="170">
        <v>8.3909861797939</v>
      </c>
      <c r="H12" s="170">
        <v>8.370850797032446</v>
      </c>
      <c r="I12" s="170">
        <v>8.35605509873003</v>
      </c>
      <c r="J12" s="170">
        <v>8.341715699626732</v>
      </c>
      <c r="K12" s="170">
        <v>8.327405443858659</v>
      </c>
      <c r="L12" s="170">
        <v>8.313008858900787</v>
      </c>
      <c r="M12" s="170">
        <v>8.299594862851603</v>
      </c>
      <c r="N12" s="170">
        <v>8.284976097127208</v>
      </c>
      <c r="O12" s="170">
        <v>8.269987340833378</v>
      </c>
      <c r="P12" s="170">
        <v>8.25461096650232</v>
      </c>
      <c r="Q12" s="170">
        <v>8.23935265824299</v>
      </c>
      <c r="R12" s="170">
        <v>8.24747515910134</v>
      </c>
      <c r="S12" s="170">
        <v>8.233701636843616</v>
      </c>
      <c r="T12" s="170">
        <v>8.193875006461536</v>
      </c>
      <c r="U12" s="170">
        <v>8.17622699387093</v>
      </c>
      <c r="V12" s="170">
        <v>7.539004749735588</v>
      </c>
      <c r="W12" s="170">
        <v>8.177764182997166</v>
      </c>
      <c r="X12" s="170">
        <v>8.130580940173319</v>
      </c>
      <c r="Y12" s="170">
        <v>8.11279894862187</v>
      </c>
      <c r="Z12" s="170">
        <v>6.554852078437009</v>
      </c>
      <c r="AA12" s="170">
        <v>8.120685387312145</v>
      </c>
      <c r="AB12" s="170">
        <v>8.063489757908403</v>
      </c>
      <c r="AC12" s="170">
        <v>8.044163627819696</v>
      </c>
      <c r="AD12" s="170">
        <v>7.940972850034287</v>
      </c>
      <c r="AE12" s="170">
        <v>8.062693866254904</v>
      </c>
      <c r="AF12" s="170">
        <v>8.078570929243075</v>
      </c>
      <c r="AG12" s="170">
        <v>8.100603475534317</v>
      </c>
      <c r="AH12" s="170">
        <v>8.07411139146897</v>
      </c>
      <c r="AI12" s="170">
        <v>7.9324369065692695</v>
      </c>
      <c r="AJ12" s="170">
        <v>8.067671819602724</v>
      </c>
      <c r="AK12" s="170">
        <v>7.891511719939582</v>
      </c>
      <c r="AL12" s="170">
        <v>7.959543467006646</v>
      </c>
      <c r="AM12" s="170">
        <v>7.8547009669319685</v>
      </c>
      <c r="AN12" s="170">
        <v>7.997551634376421</v>
      </c>
      <c r="AO12" s="170">
        <v>7.823213559417224</v>
      </c>
      <c r="AP12" s="170">
        <v>7.899888403969415</v>
      </c>
      <c r="AQ12" s="170">
        <v>7.7916475094849424</v>
      </c>
      <c r="AR12" s="170">
        <v>7.778590865794614</v>
      </c>
      <c r="AS12" s="170">
        <v>7.762720420566421</v>
      </c>
      <c r="AT12" s="170">
        <v>7.7468345568199</v>
      </c>
      <c r="AU12" s="170">
        <v>7.730974607226921</v>
      </c>
      <c r="AV12" s="170">
        <v>7.7150512259184945</v>
      </c>
      <c r="AW12" s="170">
        <v>7.699163169692379</v>
      </c>
      <c r="AX12" s="170">
        <v>7.6832550630962295</v>
      </c>
      <c r="AY12" s="168"/>
      <c r="AZ12" s="168"/>
      <c r="BA12" s="168"/>
      <c r="BB12" s="168"/>
      <c r="BC12" s="168"/>
      <c r="BD12" s="168"/>
      <c r="BE12" s="168"/>
      <c r="BF12" s="168"/>
    </row>
    <row r="13" spans="1:58" ht="15.75">
      <c r="A13" s="167">
        <v>2.2</v>
      </c>
      <c r="B13" s="170">
        <v>8.479648900929837</v>
      </c>
      <c r="C13" s="170">
        <v>8.46508778429951</v>
      </c>
      <c r="D13" s="170">
        <v>8.450795601853796</v>
      </c>
      <c r="E13" s="170">
        <v>8.435227086231516</v>
      </c>
      <c r="F13" s="170">
        <v>8.422010815216774</v>
      </c>
      <c r="G13" s="170">
        <v>8.408990382050218</v>
      </c>
      <c r="H13" s="170">
        <v>8.389726822532785</v>
      </c>
      <c r="I13" s="170">
        <v>8.37597790309114</v>
      </c>
      <c r="J13" s="170">
        <v>8.361946668681954</v>
      </c>
      <c r="K13" s="170">
        <v>8.347932187301165</v>
      </c>
      <c r="L13" s="170">
        <v>8.333678889846478</v>
      </c>
      <c r="M13" s="170">
        <v>8.319245772017615</v>
      </c>
      <c r="N13" s="170">
        <v>8.304886219308552</v>
      </c>
      <c r="O13" s="170">
        <v>8.29050165344976</v>
      </c>
      <c r="P13" s="170">
        <v>8.275889262330091</v>
      </c>
      <c r="Q13" s="170">
        <v>8.261322340736724</v>
      </c>
      <c r="R13" s="170">
        <v>8.245458213112107</v>
      </c>
      <c r="S13" s="170">
        <v>8.231212272419803</v>
      </c>
      <c r="T13" s="170">
        <v>8.216120981246608</v>
      </c>
      <c r="U13" s="170">
        <v>8.20091461725957</v>
      </c>
      <c r="V13" s="170">
        <v>8.185634690265664</v>
      </c>
      <c r="W13" s="170">
        <v>8.197979559633836</v>
      </c>
      <c r="X13" s="170">
        <v>8.15463455829324</v>
      </c>
      <c r="Y13" s="170">
        <v>8.13797784317885</v>
      </c>
      <c r="Z13" s="170">
        <v>6.117986834945413</v>
      </c>
      <c r="AA13" s="170">
        <v>8.106136766340862</v>
      </c>
      <c r="AB13" s="170">
        <v>8.126647600605438</v>
      </c>
      <c r="AC13" s="170">
        <v>8.074320677532445</v>
      </c>
      <c r="AD13" s="170">
        <v>5.815078443392088</v>
      </c>
      <c r="AE13" s="170">
        <v>8.041051505344734</v>
      </c>
      <c r="AF13" s="170">
        <v>6.936509742258765</v>
      </c>
      <c r="AG13" s="170">
        <v>6.988839126914497</v>
      </c>
      <c r="AH13" s="170">
        <v>7.986953296712357</v>
      </c>
      <c r="AI13" s="170">
        <v>7.060534188492698</v>
      </c>
      <c r="AJ13" s="170">
        <v>7.997266232795017</v>
      </c>
      <c r="AK13" s="170">
        <v>7.93483108118939</v>
      </c>
      <c r="AL13" s="170">
        <v>7.607166268880576</v>
      </c>
      <c r="AM13" s="170">
        <v>7.894740706594485</v>
      </c>
      <c r="AN13" s="170">
        <v>7.874023847846698</v>
      </c>
      <c r="AO13" s="170">
        <v>7.853565893481454</v>
      </c>
      <c r="AP13" s="170">
        <v>7.832124864150545</v>
      </c>
      <c r="AQ13" s="170">
        <v>7.8118279813005165</v>
      </c>
      <c r="AR13" s="170">
        <v>7.798752871537751</v>
      </c>
      <c r="AS13" s="170">
        <v>7.782907247094005</v>
      </c>
      <c r="AT13" s="170">
        <v>7.767091578934133</v>
      </c>
      <c r="AU13" s="170">
        <v>7.7512253187888</v>
      </c>
      <c r="AV13" s="170">
        <v>7.735386267781759</v>
      </c>
      <c r="AW13" s="170">
        <v>7.719530074320848</v>
      </c>
      <c r="AX13" s="170">
        <v>7.70369140686811</v>
      </c>
      <c r="AY13" s="168"/>
      <c r="AZ13" s="168"/>
      <c r="BA13" s="168"/>
      <c r="BB13" s="168"/>
      <c r="BC13" s="168"/>
      <c r="BD13" s="168"/>
      <c r="BE13" s="168"/>
      <c r="BF13" s="168"/>
    </row>
    <row r="14" spans="1:58" ht="15.75">
      <c r="A14" s="167">
        <v>2.4000000000000004</v>
      </c>
      <c r="B14" s="170">
        <v>8.49637871579742</v>
      </c>
      <c r="C14" s="170">
        <v>8.482080002097412</v>
      </c>
      <c r="D14" s="170">
        <v>8.46804670341895</v>
      </c>
      <c r="E14" s="170">
        <v>8.452877354584395</v>
      </c>
      <c r="F14" s="170">
        <v>8.439709738914665</v>
      </c>
      <c r="G14" s="170">
        <v>8.426985589182179</v>
      </c>
      <c r="H14" s="170">
        <v>8.407837746149946</v>
      </c>
      <c r="I14" s="170">
        <v>8.393907718036262</v>
      </c>
      <c r="J14" s="170">
        <v>8.380229995889431</v>
      </c>
      <c r="K14" s="170">
        <v>8.366418486355238</v>
      </c>
      <c r="L14" s="170">
        <v>8.352360576385031</v>
      </c>
      <c r="M14" s="170">
        <v>8.338193864937878</v>
      </c>
      <c r="N14" s="170">
        <v>8.323852340520018</v>
      </c>
      <c r="O14" s="170">
        <v>8.309925617882916</v>
      </c>
      <c r="P14" s="170">
        <v>8.295369394730033</v>
      </c>
      <c r="Q14" s="170">
        <v>8.280884516965465</v>
      </c>
      <c r="R14" s="170">
        <v>8.266417873079481</v>
      </c>
      <c r="S14" s="170">
        <v>8.25176962696205</v>
      </c>
      <c r="T14" s="170">
        <v>8.23703729854893</v>
      </c>
      <c r="U14" s="170">
        <v>8.22210682737587</v>
      </c>
      <c r="V14" s="170">
        <v>8.20699871786649</v>
      </c>
      <c r="W14" s="170">
        <v>8.192117601891793</v>
      </c>
      <c r="X14" s="170">
        <v>8.176897041649905</v>
      </c>
      <c r="Y14" s="170">
        <v>8.161702526969009</v>
      </c>
      <c r="Z14" s="170">
        <v>6.534892462260401</v>
      </c>
      <c r="AA14" s="170">
        <v>8.130527333734689</v>
      </c>
      <c r="AB14" s="170">
        <v>6.556533551413103</v>
      </c>
      <c r="AC14" s="170">
        <v>6.633689778788078</v>
      </c>
      <c r="AD14" s="170">
        <v>6.679485096951971</v>
      </c>
      <c r="AE14" s="170">
        <v>8.06681636284135</v>
      </c>
      <c r="AF14" s="170">
        <v>8.05108772095284</v>
      </c>
      <c r="AG14" s="170">
        <v>8.034366525730476</v>
      </c>
      <c r="AH14" s="170">
        <v>8.018201947702618</v>
      </c>
      <c r="AI14" s="170">
        <v>8.00177995256235</v>
      </c>
      <c r="AJ14" s="170">
        <v>7.984779124139869</v>
      </c>
      <c r="AK14" s="170">
        <v>7.966844723642148</v>
      </c>
      <c r="AL14" s="170">
        <v>7.950511089390999</v>
      </c>
      <c r="AM14" s="170">
        <v>7.93315241046534</v>
      </c>
      <c r="AN14" s="170">
        <v>7.915153418664154</v>
      </c>
      <c r="AO14" s="170">
        <v>7.896786242235919</v>
      </c>
      <c r="AP14" s="170">
        <v>7.875701808864376</v>
      </c>
      <c r="AQ14" s="170">
        <v>7.858760694769768</v>
      </c>
      <c r="AR14" s="170">
        <v>7.837266564698453</v>
      </c>
      <c r="AS14" s="170">
        <v>7.819983311875004</v>
      </c>
      <c r="AT14" s="170">
        <v>7.798170927142958</v>
      </c>
      <c r="AU14" s="170">
        <v>7.775038654207047</v>
      </c>
      <c r="AV14" s="170">
        <v>7.75562139198093</v>
      </c>
      <c r="AW14" s="170">
        <v>7.739795856575264</v>
      </c>
      <c r="AX14" s="170">
        <v>7.723943316378488</v>
      </c>
      <c r="AY14" s="168"/>
      <c r="AZ14" s="168"/>
      <c r="BA14" s="168"/>
      <c r="BB14" s="168"/>
      <c r="BC14" s="168"/>
      <c r="BD14" s="168"/>
      <c r="BE14" s="168"/>
      <c r="BF14" s="168"/>
    </row>
    <row r="15" spans="1:58" ht="15.75">
      <c r="A15" s="167">
        <v>2.6</v>
      </c>
      <c r="B15" s="170">
        <v>8.513068364722663</v>
      </c>
      <c r="C15" s="170">
        <v>8.498954354541194</v>
      </c>
      <c r="D15" s="170">
        <v>8.485123339012954</v>
      </c>
      <c r="E15" s="170">
        <v>8.469893081753892</v>
      </c>
      <c r="F15" s="170">
        <v>8.457019944028783</v>
      </c>
      <c r="G15" s="170">
        <v>8.444169550811747</v>
      </c>
      <c r="H15" s="170">
        <v>8.425553690738951</v>
      </c>
      <c r="I15" s="170">
        <v>8.411873941594111</v>
      </c>
      <c r="J15" s="170">
        <v>8.398201218979938</v>
      </c>
      <c r="K15" s="170">
        <v>8.384456798817965</v>
      </c>
      <c r="L15" s="170">
        <v>8.370684351699103</v>
      </c>
      <c r="M15" s="170">
        <v>8.35675581564584</v>
      </c>
      <c r="N15" s="170">
        <v>8.342739155095193</v>
      </c>
      <c r="O15" s="170">
        <v>8.3286181246143</v>
      </c>
      <c r="P15" s="170">
        <v>8.314443729778718</v>
      </c>
      <c r="Q15" s="170">
        <v>8.300194585657989</v>
      </c>
      <c r="R15" s="170">
        <v>8.285977830584107</v>
      </c>
      <c r="S15" s="170">
        <v>8.27149324738292</v>
      </c>
      <c r="T15" s="170">
        <v>8.256946137038593</v>
      </c>
      <c r="U15" s="170">
        <v>8.242327679705378</v>
      </c>
      <c r="V15" s="170">
        <v>8.227673017803822</v>
      </c>
      <c r="W15" s="170">
        <v>8.212903593609418</v>
      </c>
      <c r="X15" s="170">
        <v>8.203931742185599</v>
      </c>
      <c r="Y15" s="170">
        <v>8.18975739341936</v>
      </c>
      <c r="Z15" s="170">
        <v>8.168102334057531</v>
      </c>
      <c r="AA15" s="170">
        <v>8.15289153561213</v>
      </c>
      <c r="AB15" s="170">
        <v>8.13799021268289</v>
      </c>
      <c r="AC15" s="170">
        <v>8.122600763980868</v>
      </c>
      <c r="AD15" s="170">
        <v>8.118006882546203</v>
      </c>
      <c r="AE15" s="170">
        <v>8.091718756642706</v>
      </c>
      <c r="AF15" s="170">
        <v>8.076185818812533</v>
      </c>
      <c r="AG15" s="170">
        <v>8.060592804914105</v>
      </c>
      <c r="AH15" s="170">
        <v>8.045051406545626</v>
      </c>
      <c r="AI15" s="170">
        <v>8.04505952938367</v>
      </c>
      <c r="AJ15" s="170">
        <v>8.013138817625029</v>
      </c>
      <c r="AK15" s="170">
        <v>7.997121236477811</v>
      </c>
      <c r="AL15" s="170">
        <v>7.981011844976052</v>
      </c>
      <c r="AM15" s="170">
        <v>7.964570369447292</v>
      </c>
      <c r="AN15" s="170">
        <v>7.9712137188088485</v>
      </c>
      <c r="AO15" s="170">
        <v>7.9308697464242695</v>
      </c>
      <c r="AP15" s="170">
        <v>7.941478276342833</v>
      </c>
      <c r="AQ15" s="170">
        <v>7.897581212999503</v>
      </c>
      <c r="AR15" s="170">
        <v>7.880109770724549</v>
      </c>
      <c r="AS15" s="170">
        <v>7.86288232809094</v>
      </c>
      <c r="AT15" s="170">
        <v>7.84487448143932</v>
      </c>
      <c r="AU15" s="170">
        <v>7.82618611127725</v>
      </c>
      <c r="AV15" s="170">
        <v>7.808889183635774</v>
      </c>
      <c r="AW15" s="170">
        <v>7.788489336995284</v>
      </c>
      <c r="AX15" s="170">
        <v>7.780357028502333</v>
      </c>
      <c r="AY15" s="168"/>
      <c r="AZ15" s="168"/>
      <c r="BA15" s="168"/>
      <c r="BB15" s="168"/>
      <c r="BC15" s="168"/>
      <c r="BD15" s="168"/>
      <c r="BE15" s="168"/>
      <c r="BF15" s="168"/>
    </row>
    <row r="16" spans="1:58" ht="15.75">
      <c r="A16" s="167">
        <v>2.8000000000000003</v>
      </c>
      <c r="B16" s="170">
        <v>8.529419074396415</v>
      </c>
      <c r="C16" s="170">
        <v>8.515573052204598</v>
      </c>
      <c r="D16" s="170">
        <v>8.501869985596052</v>
      </c>
      <c r="E16" s="170">
        <v>8.487023946112009</v>
      </c>
      <c r="F16" s="170">
        <v>8.474231112667644</v>
      </c>
      <c r="G16" s="170">
        <v>8.461567187948834</v>
      </c>
      <c r="H16" s="170">
        <v>8.442848147179028</v>
      </c>
      <c r="I16" s="170">
        <v>8.429302008105495</v>
      </c>
      <c r="J16" s="170">
        <v>8.415749672544205</v>
      </c>
      <c r="K16" s="170">
        <v>8.40221643203317</v>
      </c>
      <c r="L16" s="170">
        <v>8.388529804455683</v>
      </c>
      <c r="M16" s="170">
        <v>8.374696815703821</v>
      </c>
      <c r="N16" s="170">
        <v>8.360916497917906</v>
      </c>
      <c r="O16" s="170">
        <v>8.34706926793017</v>
      </c>
      <c r="P16" s="170">
        <v>8.333051818912711</v>
      </c>
      <c r="Q16" s="170">
        <v>8.318866526752927</v>
      </c>
      <c r="R16" s="170">
        <v>8.304831712350365</v>
      </c>
      <c r="S16" s="170">
        <v>8.290594855237718</v>
      </c>
      <c r="T16" s="170">
        <v>8.276251156266481</v>
      </c>
      <c r="U16" s="170">
        <v>8.261875877116362</v>
      </c>
      <c r="V16" s="170">
        <v>8.247487492081333</v>
      </c>
      <c r="W16" s="170">
        <v>8.232989809146973</v>
      </c>
      <c r="X16" s="170">
        <v>8.218418070468964</v>
      </c>
      <c r="Y16" s="170">
        <v>8.209727352469063</v>
      </c>
      <c r="Z16" s="170">
        <v>8.188916189596478</v>
      </c>
      <c r="AA16" s="170">
        <v>8.174273473344932</v>
      </c>
      <c r="AB16" s="170">
        <v>8.159507909183686</v>
      </c>
      <c r="AC16" s="170">
        <v>8.144634376240873</v>
      </c>
      <c r="AD16" s="170">
        <v>8.129752087171404</v>
      </c>
      <c r="AE16" s="170">
        <v>8.114853881825818</v>
      </c>
      <c r="AF16" s="170">
        <v>8.109149778684387</v>
      </c>
      <c r="AG16" s="170">
        <v>8.08471668791073</v>
      </c>
      <c r="AH16" s="170">
        <v>8.069718671356481</v>
      </c>
      <c r="AI16" s="170">
        <v>6.9967022367462235</v>
      </c>
      <c r="AJ16" s="170">
        <v>6.559112714209031</v>
      </c>
      <c r="AK16" s="170">
        <v>7.240567013004796</v>
      </c>
      <c r="AL16" s="170">
        <v>7.327407018797295</v>
      </c>
      <c r="AM16" s="170">
        <v>7.459541885590512</v>
      </c>
      <c r="AN16" s="170">
        <v>7.251193042400606</v>
      </c>
      <c r="AO16" s="170">
        <v>7.962339626222162</v>
      </c>
      <c r="AP16" s="170">
        <v>7.944134353968494</v>
      </c>
      <c r="AQ16" s="170">
        <v>7.9309558031343315</v>
      </c>
      <c r="AR16" s="170">
        <v>7.915563710282388</v>
      </c>
      <c r="AS16" s="170">
        <v>7.8996685287019766</v>
      </c>
      <c r="AT16" s="170">
        <v>7.902420808526674</v>
      </c>
      <c r="AU16" s="170">
        <v>7.86584946146673</v>
      </c>
      <c r="AV16" s="170">
        <v>7.851952073511707</v>
      </c>
      <c r="AW16" s="170">
        <v>7.835079912637009</v>
      </c>
      <c r="AX16" s="170">
        <v>7.819008510494831</v>
      </c>
      <c r="AY16" s="168"/>
      <c r="AZ16" s="168"/>
      <c r="BA16" s="168"/>
      <c r="BB16" s="168"/>
      <c r="BC16" s="168"/>
      <c r="BD16" s="168"/>
      <c r="BE16" s="168"/>
      <c r="BF16" s="168"/>
    </row>
    <row r="17" spans="1:58" ht="15.75">
      <c r="A17" s="167">
        <v>3</v>
      </c>
      <c r="B17" s="170">
        <v>6.68627336883544</v>
      </c>
      <c r="C17" s="170">
        <v>8.532138238276366</v>
      </c>
      <c r="D17" s="170">
        <v>8.518558145681501</v>
      </c>
      <c r="E17" s="170">
        <v>8.503904194958361</v>
      </c>
      <c r="F17" s="170">
        <v>8.491075177127366</v>
      </c>
      <c r="G17" s="170">
        <v>8.478462829889633</v>
      </c>
      <c r="H17" s="170">
        <v>8.46002100547866</v>
      </c>
      <c r="I17" s="170">
        <v>8.446744169996288</v>
      </c>
      <c r="J17" s="170">
        <v>8.433177333463895</v>
      </c>
      <c r="K17" s="170">
        <v>8.419672637803384</v>
      </c>
      <c r="L17" s="170">
        <v>8.406124080398872</v>
      </c>
      <c r="M17" s="170">
        <v>8.392506059421532</v>
      </c>
      <c r="N17" s="170">
        <v>8.378751074252571</v>
      </c>
      <c r="O17" s="170">
        <v>8.36494031409658</v>
      </c>
      <c r="P17" s="170">
        <v>8.351161035876869</v>
      </c>
      <c r="Q17" s="170">
        <v>8.337270305364775</v>
      </c>
      <c r="R17" s="170">
        <v>6.791571701155187</v>
      </c>
      <c r="S17" s="170">
        <v>8.309267564927934</v>
      </c>
      <c r="T17" s="170">
        <v>8.295147517228502</v>
      </c>
      <c r="U17" s="170">
        <v>8.28102939640034</v>
      </c>
      <c r="V17" s="170">
        <v>8.271681177484425</v>
      </c>
      <c r="W17" s="170">
        <v>8.252575900722546</v>
      </c>
      <c r="X17" s="170">
        <v>8.268270983924998</v>
      </c>
      <c r="Y17" s="170">
        <v>8.223801752796415</v>
      </c>
      <c r="Z17" s="170">
        <v>8.16140777108329</v>
      </c>
      <c r="AA17" s="170">
        <v>8.19497167739655</v>
      </c>
      <c r="AB17" s="170">
        <v>8.180658249842788</v>
      </c>
      <c r="AC17" s="170">
        <v>8.166072293472663</v>
      </c>
      <c r="AD17" s="170">
        <v>8.158112738387986</v>
      </c>
      <c r="AE17" s="170">
        <v>8.143673202811515</v>
      </c>
      <c r="AF17" s="170">
        <v>8.122441261643635</v>
      </c>
      <c r="AG17" s="170">
        <v>7.3060728089054825</v>
      </c>
      <c r="AH17" s="170">
        <v>7.565005064436818</v>
      </c>
      <c r="AI17" s="170">
        <v>8.078662961865467</v>
      </c>
      <c r="AJ17" s="170">
        <v>8.064087744300094</v>
      </c>
      <c r="AK17" s="170">
        <v>7.934737166628611</v>
      </c>
      <c r="AL17" s="170">
        <v>8.041479424374963</v>
      </c>
      <c r="AM17" s="170">
        <v>8.020310247487325</v>
      </c>
      <c r="AN17" s="170">
        <v>8.005932485238432</v>
      </c>
      <c r="AO17" s="170">
        <v>7.991419338005406</v>
      </c>
      <c r="AP17" s="170">
        <v>6.23245176103204</v>
      </c>
      <c r="AQ17" s="170">
        <v>7.967554104959204</v>
      </c>
      <c r="AR17" s="170">
        <v>7.946103976393635</v>
      </c>
      <c r="AS17" s="170">
        <v>7.929899603231482</v>
      </c>
      <c r="AT17" s="170">
        <v>7.913248699814017</v>
      </c>
      <c r="AU17" s="170">
        <v>7.897255807870565</v>
      </c>
      <c r="AV17" s="170">
        <v>7.880721250847243</v>
      </c>
      <c r="AW17" s="170">
        <v>7.878151146999471</v>
      </c>
      <c r="AX17" s="170">
        <v>7.8631962869993695</v>
      </c>
      <c r="AY17" s="168"/>
      <c r="AZ17" s="168"/>
      <c r="BA17" s="168"/>
      <c r="BB17" s="168"/>
      <c r="BC17" s="168"/>
      <c r="BD17" s="168"/>
      <c r="BE17" s="168"/>
      <c r="BF17" s="168"/>
    </row>
    <row r="18" spans="1:58" ht="15.75">
      <c r="A18" s="167">
        <v>3.2</v>
      </c>
      <c r="B18" s="170">
        <v>8.60637764602907</v>
      </c>
      <c r="C18" s="170">
        <v>8.548564130329186</v>
      </c>
      <c r="D18" s="170">
        <v>8.535136786337082</v>
      </c>
      <c r="E18" s="170">
        <v>8.520547116061035</v>
      </c>
      <c r="F18" s="170">
        <v>8.507790623690163</v>
      </c>
      <c r="G18" s="170">
        <v>8.495111868785136</v>
      </c>
      <c r="H18" s="170">
        <v>8.477004574088571</v>
      </c>
      <c r="I18" s="170">
        <v>8.463746348642399</v>
      </c>
      <c r="J18" s="170">
        <v>8.450301721212123</v>
      </c>
      <c r="K18" s="170">
        <v>8.436872185843127</v>
      </c>
      <c r="L18" s="170">
        <v>8.423436140355918</v>
      </c>
      <c r="M18" s="170">
        <v>8.409913891361276</v>
      </c>
      <c r="N18" s="170">
        <v>8.396329435830848</v>
      </c>
      <c r="O18" s="170">
        <v>8.382662015997134</v>
      </c>
      <c r="P18" s="170">
        <v>8.3690131306482</v>
      </c>
      <c r="Q18" s="170">
        <v>8.355216016559268</v>
      </c>
      <c r="R18" s="170">
        <v>8.341421675044572</v>
      </c>
      <c r="S18" s="170">
        <v>8.327580878050242</v>
      </c>
      <c r="T18" s="170">
        <v>8.313741987016103</v>
      </c>
      <c r="U18" s="170">
        <v>8.29974753677657</v>
      </c>
      <c r="V18" s="170">
        <v>8.285751498317605</v>
      </c>
      <c r="W18" s="170">
        <v>8.271716452756506</v>
      </c>
      <c r="X18" s="170">
        <v>8.25765384288741</v>
      </c>
      <c r="Y18" s="170">
        <v>8.243392056883986</v>
      </c>
      <c r="Z18" s="170">
        <v>8.229545632498612</v>
      </c>
      <c r="AA18" s="170">
        <v>8.215259171015205</v>
      </c>
      <c r="AB18" s="170">
        <v>8.20118364842154</v>
      </c>
      <c r="AC18" s="170">
        <v>8.187006127803297</v>
      </c>
      <c r="AD18" s="170">
        <v>8.172733768982631</v>
      </c>
      <c r="AE18" s="170">
        <v>8.158646356158469</v>
      </c>
      <c r="AF18" s="170">
        <v>8.14452681175275</v>
      </c>
      <c r="AG18" s="170">
        <v>8.130442788130868</v>
      </c>
      <c r="AH18" s="170">
        <v>7.009415250026626</v>
      </c>
      <c r="AI18" s="170">
        <v>8.102308122654149</v>
      </c>
      <c r="AJ18" s="170">
        <v>7.48164331821944</v>
      </c>
      <c r="AK18" s="170">
        <v>8.074221153451312</v>
      </c>
      <c r="AL18" s="170">
        <v>8.167508903218648</v>
      </c>
      <c r="AM18" s="170">
        <v>8.046128128642378</v>
      </c>
      <c r="AN18" s="170">
        <v>8.030675040539007</v>
      </c>
      <c r="AO18" s="170">
        <v>8.015160033828826</v>
      </c>
      <c r="AP18" s="170">
        <v>7.999264098748446</v>
      </c>
      <c r="AQ18" s="170">
        <v>7.983593113403132</v>
      </c>
      <c r="AR18" s="170">
        <v>7.967699581434664</v>
      </c>
      <c r="AS18" s="170">
        <v>7.951658132574897</v>
      </c>
      <c r="AT18" s="170">
        <v>7.935283952365383</v>
      </c>
      <c r="AU18" s="170">
        <v>7.919267135209922</v>
      </c>
      <c r="AV18" s="170">
        <v>7.902935336062845</v>
      </c>
      <c r="AW18" s="170">
        <v>7.88653936466355</v>
      </c>
      <c r="AX18" s="170">
        <v>7.870209072209048</v>
      </c>
      <c r="AY18" s="168"/>
      <c r="AZ18" s="168"/>
      <c r="BA18" s="168"/>
      <c r="BB18" s="168"/>
      <c r="BC18" s="168"/>
      <c r="BD18" s="168"/>
      <c r="BE18" s="168"/>
      <c r="BF18" s="168"/>
    </row>
    <row r="19" spans="1:58" ht="15.75">
      <c r="A19" s="167">
        <v>3.4000000000000004</v>
      </c>
      <c r="B19" s="170">
        <v>8.578286937989018</v>
      </c>
      <c r="C19" s="170">
        <v>8.564876067925542</v>
      </c>
      <c r="D19" s="170">
        <v>8.551591366209221</v>
      </c>
      <c r="E19" s="170">
        <v>8.537186559643748</v>
      </c>
      <c r="F19" s="170">
        <v>8.524833156587928</v>
      </c>
      <c r="G19" s="170">
        <v>8.511727795713895</v>
      </c>
      <c r="H19" s="170">
        <v>8.493706854082248</v>
      </c>
      <c r="I19" s="170">
        <v>8.48047580751637</v>
      </c>
      <c r="J19" s="170">
        <v>8.467250187660293</v>
      </c>
      <c r="K19" s="170">
        <v>8.453896568846393</v>
      </c>
      <c r="L19" s="170">
        <v>8.440543210227299</v>
      </c>
      <c r="M19" s="170">
        <v>8.427100039590638</v>
      </c>
      <c r="N19" s="170">
        <v>8.413552678090445</v>
      </c>
      <c r="O19" s="170">
        <v>8.40021773645852</v>
      </c>
      <c r="P19" s="170">
        <v>8.386591904678037</v>
      </c>
      <c r="Q19" s="170">
        <v>8.372972261051327</v>
      </c>
      <c r="R19" s="170">
        <v>8.359087960016726</v>
      </c>
      <c r="S19" s="170">
        <v>8.345600764830719</v>
      </c>
      <c r="T19" s="170">
        <v>8.331908388784871</v>
      </c>
      <c r="U19" s="170">
        <v>8.318144426696088</v>
      </c>
      <c r="V19" s="170">
        <v>8.304353261396708</v>
      </c>
      <c r="W19" s="170">
        <v>8.2905134719979</v>
      </c>
      <c r="X19" s="170">
        <v>8.276707063884668</v>
      </c>
      <c r="Y19" s="170">
        <v>8.262897275953366</v>
      </c>
      <c r="Z19" s="170">
        <v>8.24902786682822</v>
      </c>
      <c r="AA19" s="170">
        <v>8.23503471054885</v>
      </c>
      <c r="AB19" s="170">
        <v>8.221592838821083</v>
      </c>
      <c r="AC19" s="170">
        <v>8.207481582058513</v>
      </c>
      <c r="AD19" s="170">
        <v>8.1936168404106</v>
      </c>
      <c r="AE19" s="170">
        <v>8.179434671887881</v>
      </c>
      <c r="AF19" s="170">
        <v>8.16670193232665</v>
      </c>
      <c r="AG19" s="170">
        <v>8.152189912691906</v>
      </c>
      <c r="AH19" s="170">
        <v>8.138804667504623</v>
      </c>
      <c r="AI19" s="170">
        <v>8.12478666455227</v>
      </c>
      <c r="AJ19" s="170">
        <v>8.111672594101861</v>
      </c>
      <c r="AK19" s="170">
        <v>8.09673302244177</v>
      </c>
      <c r="AL19" s="170">
        <v>8.081392900018766</v>
      </c>
      <c r="AM19" s="170">
        <v>8.066450430264391</v>
      </c>
      <c r="AN19" s="170">
        <v>8.051061805132655</v>
      </c>
      <c r="AO19" s="170">
        <v>8.035646201942962</v>
      </c>
      <c r="AP19" s="170">
        <v>8.019888019462739</v>
      </c>
      <c r="AQ19" s="170">
        <v>8.004193098234905</v>
      </c>
      <c r="AR19" s="170">
        <v>7.988574457745707</v>
      </c>
      <c r="AS19" s="170">
        <v>7.97267205302223</v>
      </c>
      <c r="AT19" s="170">
        <v>7.956625966899595</v>
      </c>
      <c r="AU19" s="170">
        <v>7.940664891448447</v>
      </c>
      <c r="AV19" s="170">
        <v>7.924557878671315</v>
      </c>
      <c r="AW19" s="170">
        <v>7.9083694803811575</v>
      </c>
      <c r="AX19" s="170">
        <v>7.8921150746291</v>
      </c>
      <c r="AY19" s="168"/>
      <c r="AZ19" s="168"/>
      <c r="BA19" s="168"/>
      <c r="BB19" s="168"/>
      <c r="BC19" s="168"/>
      <c r="BD19" s="168"/>
      <c r="BE19" s="168"/>
      <c r="BF19" s="168"/>
    </row>
    <row r="20" spans="1:58" ht="15.75">
      <c r="A20" s="167">
        <v>3.6</v>
      </c>
      <c r="B20" s="170">
        <v>8.594374924215899</v>
      </c>
      <c r="C20" s="170">
        <v>8.581180466804494</v>
      </c>
      <c r="D20" s="170">
        <v>8.56786841033656</v>
      </c>
      <c r="E20" s="170">
        <v>8.5536287008155</v>
      </c>
      <c r="F20" s="170">
        <v>8.541153809239315</v>
      </c>
      <c r="G20" s="170">
        <v>8.52846551380089</v>
      </c>
      <c r="H20" s="170">
        <v>8.510433575280466</v>
      </c>
      <c r="I20" s="170">
        <v>8.497321996667411</v>
      </c>
      <c r="J20" s="170">
        <v>8.484062053448865</v>
      </c>
      <c r="K20" s="170">
        <v>8.47072150809497</v>
      </c>
      <c r="L20" s="170">
        <v>8.457502012720955</v>
      </c>
      <c r="M20" s="170">
        <v>8.444230109684733</v>
      </c>
      <c r="N20" s="170">
        <v>8.430808852693207</v>
      </c>
      <c r="O20" s="170">
        <v>8.417422956535146</v>
      </c>
      <c r="P20" s="170">
        <v>8.403876277809738</v>
      </c>
      <c r="Q20" s="170">
        <v>8.390551112091842</v>
      </c>
      <c r="R20" s="170">
        <v>8.376831491722667</v>
      </c>
      <c r="S20" s="170">
        <v>8.363340479388425</v>
      </c>
      <c r="T20" s="170">
        <v>8.349748018811088</v>
      </c>
      <c r="U20" s="170">
        <v>8.336214277029466</v>
      </c>
      <c r="V20" s="170">
        <v>8.322506132761381</v>
      </c>
      <c r="W20" s="170">
        <v>8.309224003349462</v>
      </c>
      <c r="X20" s="170">
        <v>8.295256969413225</v>
      </c>
      <c r="Y20" s="170">
        <v>8.281787800703295</v>
      </c>
      <c r="Z20" s="170">
        <v>8.268189407199081</v>
      </c>
      <c r="AA20" s="170">
        <v>8.254709214641863</v>
      </c>
      <c r="AB20" s="170">
        <v>8.241075491990685</v>
      </c>
      <c r="AC20" s="170">
        <v>8.227532635642067</v>
      </c>
      <c r="AD20" s="170">
        <v>8.214126174512067</v>
      </c>
      <c r="AE20" s="170">
        <v>8.20050494855068</v>
      </c>
      <c r="AF20" s="170">
        <v>8.187656939613287</v>
      </c>
      <c r="AG20" s="170">
        <v>8.174005032120252</v>
      </c>
      <c r="AH20" s="170">
        <v>8.160406479561619</v>
      </c>
      <c r="AI20" s="170">
        <v>8.14561421489176</v>
      </c>
      <c r="AJ20" s="170">
        <v>8.130905469637776</v>
      </c>
      <c r="AK20" s="170">
        <v>8.115970010171782</v>
      </c>
      <c r="AL20" s="170">
        <v>8.10100052912166</v>
      </c>
      <c r="AM20" s="170">
        <v>8.085904693993562</v>
      </c>
      <c r="AN20" s="170">
        <v>8.070568222041226</v>
      </c>
      <c r="AO20" s="170">
        <v>8.055332782675572</v>
      </c>
      <c r="AP20" s="170">
        <v>8.0396963082674</v>
      </c>
      <c r="AQ20" s="170">
        <v>8.024365436994728</v>
      </c>
      <c r="AR20" s="170">
        <v>8.008560520484382</v>
      </c>
      <c r="AS20" s="170">
        <v>7.9929706930392435</v>
      </c>
      <c r="AT20" s="170">
        <v>7.977102173973454</v>
      </c>
      <c r="AU20" s="170">
        <v>7.961234258653078</v>
      </c>
      <c r="AV20" s="170">
        <v>7.945267315577175</v>
      </c>
      <c r="AW20" s="170">
        <v>7.92922288193032</v>
      </c>
      <c r="AX20" s="170">
        <v>7.913300980489914</v>
      </c>
      <c r="AY20" s="168"/>
      <c r="AZ20" s="168"/>
      <c r="BA20" s="168"/>
      <c r="BB20" s="168"/>
      <c r="BC20" s="168"/>
      <c r="BD20" s="168"/>
      <c r="BE20" s="168"/>
      <c r="BF20" s="168"/>
    </row>
    <row r="21" spans="1:58" ht="15.75">
      <c r="A21" s="167">
        <v>3.8000000000000003</v>
      </c>
      <c r="B21" s="170">
        <v>8.610314891269326</v>
      </c>
      <c r="C21" s="170">
        <v>8.59714214624379</v>
      </c>
      <c r="D21" s="170">
        <v>8.584139222377722</v>
      </c>
      <c r="E21" s="170">
        <v>8.569968810847033</v>
      </c>
      <c r="F21" s="170">
        <v>8.557482979500195</v>
      </c>
      <c r="G21" s="170">
        <v>8.544735701178661</v>
      </c>
      <c r="H21" s="170">
        <v>8.526965256685285</v>
      </c>
      <c r="I21" s="170">
        <v>8.513858416644279</v>
      </c>
      <c r="J21" s="170">
        <v>8.500763737449715</v>
      </c>
      <c r="K21" s="170">
        <v>8.487512570230185</v>
      </c>
      <c r="L21" s="170">
        <v>8.474308216199152</v>
      </c>
      <c r="M21" s="170">
        <v>8.461111567405219</v>
      </c>
      <c r="N21" s="170">
        <v>8.447713000015154</v>
      </c>
      <c r="O21" s="170">
        <v>8.434446150312791</v>
      </c>
      <c r="P21" s="170">
        <v>8.421117384778645</v>
      </c>
      <c r="Q21" s="170">
        <v>8.407811063609627</v>
      </c>
      <c r="R21" s="170">
        <v>8.394363456671003</v>
      </c>
      <c r="S21" s="170">
        <v>8.380963173599707</v>
      </c>
      <c r="T21" s="170">
        <v>8.367668945350749</v>
      </c>
      <c r="U21" s="170">
        <v>8.35423063334026</v>
      </c>
      <c r="V21" s="170">
        <v>8.34083832342003</v>
      </c>
      <c r="W21" s="170">
        <v>8.327463378444836</v>
      </c>
      <c r="X21" s="170">
        <v>8.314283239812703</v>
      </c>
      <c r="Y21" s="170">
        <v>8.300568921339691</v>
      </c>
      <c r="Z21" s="170">
        <v>8.2873530373841</v>
      </c>
      <c r="AA21" s="170">
        <v>8.274041219659544</v>
      </c>
      <c r="AB21" s="170">
        <v>8.26100938127889</v>
      </c>
      <c r="AC21" s="170">
        <v>8.248049619821224</v>
      </c>
      <c r="AD21" s="170">
        <v>8.234444650761134</v>
      </c>
      <c r="AE21" s="170">
        <v>8.221221811600467</v>
      </c>
      <c r="AF21" s="170">
        <v>8.208302050748367</v>
      </c>
      <c r="AG21" s="170">
        <v>8.193548156739443</v>
      </c>
      <c r="AH21" s="170">
        <v>8.17926223632342</v>
      </c>
      <c r="AI21" s="170">
        <v>8.164766263864923</v>
      </c>
      <c r="AJ21" s="170">
        <v>8.149937914490526</v>
      </c>
      <c r="AK21" s="170">
        <v>8.135093424287817</v>
      </c>
      <c r="AL21" s="170">
        <v>8.120208609682361</v>
      </c>
      <c r="AM21" s="170">
        <v>8.105190060247848</v>
      </c>
      <c r="AN21" s="170">
        <v>8.090042889302325</v>
      </c>
      <c r="AO21" s="170">
        <v>8.07479836711767</v>
      </c>
      <c r="AP21" s="170">
        <v>8.059295989746506</v>
      </c>
      <c r="AQ21" s="170">
        <v>8.044075945732574</v>
      </c>
      <c r="AR21" s="170">
        <v>8.028626690785963</v>
      </c>
      <c r="AS21" s="170">
        <v>8.013079776766725</v>
      </c>
      <c r="AT21" s="170">
        <v>7.997122392710755</v>
      </c>
      <c r="AU21" s="170">
        <v>7.981753902334515</v>
      </c>
      <c r="AV21" s="170">
        <v>7.965944593967496</v>
      </c>
      <c r="AW21" s="170">
        <v>7.950104012787957</v>
      </c>
      <c r="AX21" s="170">
        <v>7.934287720965287</v>
      </c>
      <c r="AY21" s="168"/>
      <c r="AZ21" s="168"/>
      <c r="BA21" s="168"/>
      <c r="BB21" s="168"/>
      <c r="BC21" s="168"/>
      <c r="BD21" s="168"/>
      <c r="BE21" s="168"/>
      <c r="BF21" s="168"/>
    </row>
    <row r="22" spans="1:58" ht="15.75">
      <c r="A22" s="167">
        <v>4</v>
      </c>
      <c r="B22" s="170">
        <v>6.838728126409025</v>
      </c>
      <c r="C22" s="170">
        <v>8.613241487133623</v>
      </c>
      <c r="D22" s="170">
        <v>8.6001817880542</v>
      </c>
      <c r="E22" s="170">
        <v>8.5861936215474</v>
      </c>
      <c r="F22" s="170">
        <v>8.57375591876865</v>
      </c>
      <c r="G22" s="170">
        <v>8.561224339871332</v>
      </c>
      <c r="H22" s="170">
        <v>8.543379039715882</v>
      </c>
      <c r="I22" s="170">
        <v>8.530284387189067</v>
      </c>
      <c r="J22" s="170">
        <v>8.517188965746618</v>
      </c>
      <c r="K22" s="170">
        <v>8.50397622183318</v>
      </c>
      <c r="L22" s="170">
        <v>8.490917463339441</v>
      </c>
      <c r="M22" s="170">
        <v>8.477871034567126</v>
      </c>
      <c r="N22" s="170">
        <v>8.464625315922692</v>
      </c>
      <c r="O22" s="170">
        <v>8.451492028914535</v>
      </c>
      <c r="P22" s="170">
        <v>8.438100003994558</v>
      </c>
      <c r="Q22" s="170">
        <v>8.42503775665363</v>
      </c>
      <c r="R22" s="170">
        <v>8.411589115257453</v>
      </c>
      <c r="S22" s="170">
        <v>8.398587703062862</v>
      </c>
      <c r="T22" s="170">
        <v>8.385122993177196</v>
      </c>
      <c r="U22" s="170">
        <v>8.371989585368542</v>
      </c>
      <c r="V22" s="170">
        <v>8.35866947546909</v>
      </c>
      <c r="W22" s="170">
        <v>8.345809297652941</v>
      </c>
      <c r="X22" s="170">
        <v>8.332767264239274</v>
      </c>
      <c r="Y22" s="170">
        <v>8.319255989257174</v>
      </c>
      <c r="Z22" s="170">
        <v>8.306438685232866</v>
      </c>
      <c r="AA22" s="170">
        <v>8.293202329177072</v>
      </c>
      <c r="AB22" s="170">
        <v>8.270878267757627</v>
      </c>
      <c r="AC22" s="170">
        <v>8.267587642164944</v>
      </c>
      <c r="AD22" s="170">
        <v>8.24255285811563</v>
      </c>
      <c r="AE22" s="170">
        <v>8.240465836569001</v>
      </c>
      <c r="AF22" s="170">
        <v>8.292167064013215</v>
      </c>
      <c r="AG22" s="170">
        <v>8.211865873589229</v>
      </c>
      <c r="AH22" s="170">
        <v>8.410290981487769</v>
      </c>
      <c r="AI22" s="170">
        <v>8.183129612301162</v>
      </c>
      <c r="AJ22" s="170">
        <v>8.168332690683902</v>
      </c>
      <c r="AK22" s="170">
        <v>8.153640434474392</v>
      </c>
      <c r="AL22" s="170">
        <v>8.138666376293944</v>
      </c>
      <c r="AM22" s="170">
        <v>8.123759628571284</v>
      </c>
      <c r="AN22" s="170">
        <v>8.108682294004428</v>
      </c>
      <c r="AO22" s="170">
        <v>8.093623393130967</v>
      </c>
      <c r="AP22" s="170">
        <v>7.123879927287211</v>
      </c>
      <c r="AQ22" s="170">
        <v>8.06318886441088</v>
      </c>
      <c r="AR22" s="170">
        <v>8.047699651647402</v>
      </c>
      <c r="AS22" s="170">
        <v>8.032397109077364</v>
      </c>
      <c r="AT22" s="170">
        <v>8.01685884894112</v>
      </c>
      <c r="AU22" s="170">
        <v>8.001269041108422</v>
      </c>
      <c r="AV22" s="170">
        <v>7.98555470118869</v>
      </c>
      <c r="AW22" s="170">
        <v>7.9700761927760135</v>
      </c>
      <c r="AX22" s="170">
        <v>7.954323254407817</v>
      </c>
      <c r="AY22" s="168"/>
      <c r="AZ22" s="168"/>
      <c r="BA22" s="168"/>
      <c r="BB22" s="168"/>
      <c r="BC22" s="168"/>
      <c r="BD22" s="168"/>
      <c r="BE22" s="168"/>
      <c r="BF22" s="168"/>
    </row>
    <row r="23" spans="1:58" ht="15.75">
      <c r="A23" s="167">
        <v>4.2</v>
      </c>
      <c r="B23" s="170">
        <v>8.645336050756262</v>
      </c>
      <c r="C23" s="170">
        <v>8.629065126807863</v>
      </c>
      <c r="D23" s="170">
        <v>8.616256723720145</v>
      </c>
      <c r="E23" s="170">
        <v>8.60233829747315</v>
      </c>
      <c r="F23" s="170">
        <v>8.589967424173565</v>
      </c>
      <c r="G23" s="170">
        <v>8.577498419189203</v>
      </c>
      <c r="H23" s="170">
        <v>8.55964191726828</v>
      </c>
      <c r="I23" s="170">
        <v>8.546818817816092</v>
      </c>
      <c r="J23" s="170">
        <v>8.533602135290147</v>
      </c>
      <c r="K23" s="170">
        <v>8.520455941029773</v>
      </c>
      <c r="L23" s="170">
        <v>8.507478436193054</v>
      </c>
      <c r="M23" s="170">
        <v>8.494390173773732</v>
      </c>
      <c r="N23" s="170">
        <v>8.48116639934982</v>
      </c>
      <c r="O23" s="170">
        <v>8.468173125281066</v>
      </c>
      <c r="P23" s="170">
        <v>8.454984339643694</v>
      </c>
      <c r="Q23" s="170">
        <v>8.441957769159195</v>
      </c>
      <c r="R23" s="170">
        <v>8.42874900339296</v>
      </c>
      <c r="S23" s="170">
        <v>8.415712360917688</v>
      </c>
      <c r="T23" s="170">
        <v>8.402715558393966</v>
      </c>
      <c r="U23" s="170">
        <v>8.389662021378138</v>
      </c>
      <c r="V23" s="170">
        <v>8.376669934954613</v>
      </c>
      <c r="W23" s="170">
        <v>8.363672640563562</v>
      </c>
      <c r="X23" s="170">
        <v>8.351104742407852</v>
      </c>
      <c r="Y23" s="170">
        <v>8.337850438785402</v>
      </c>
      <c r="Z23" s="170">
        <v>8.32537675864187</v>
      </c>
      <c r="AA23" s="170">
        <v>8.312294809202267</v>
      </c>
      <c r="AB23" s="170">
        <v>8.299942630953455</v>
      </c>
      <c r="AC23" s="170">
        <v>8.28623545136104</v>
      </c>
      <c r="AD23" s="170">
        <v>8.272574342790007</v>
      </c>
      <c r="AE23" s="170">
        <v>8.258479278655782</v>
      </c>
      <c r="AF23" s="170">
        <v>8.244438059621103</v>
      </c>
      <c r="AG23" s="170">
        <v>8.230126814552772</v>
      </c>
      <c r="AH23" s="170">
        <v>8.215628935773337</v>
      </c>
      <c r="AI23" s="170">
        <v>8.201137109668872</v>
      </c>
      <c r="AJ23" s="170">
        <v>8.18652754192089</v>
      </c>
      <c r="AK23" s="170">
        <v>8.171758840481218</v>
      </c>
      <c r="AL23" s="170">
        <v>8.157089186115025</v>
      </c>
      <c r="AM23" s="170">
        <v>8.142270791747729</v>
      </c>
      <c r="AN23" s="170">
        <v>8.12728100563173</v>
      </c>
      <c r="AO23" s="170">
        <v>8.112319601899856</v>
      </c>
      <c r="AP23" s="170">
        <v>8.097022429116496</v>
      </c>
      <c r="AQ23" s="170">
        <v>8.082037661910801</v>
      </c>
      <c r="AR23" s="170">
        <v>8.06682613214332</v>
      </c>
      <c r="AS23" s="170">
        <v>8.051517477480548</v>
      </c>
      <c r="AT23" s="170">
        <v>8.035982144902961</v>
      </c>
      <c r="AU23" s="170">
        <v>8.020715918731918</v>
      </c>
      <c r="AV23" s="170">
        <v>8.005258704225069</v>
      </c>
      <c r="AW23" s="170">
        <v>7.989757095627404</v>
      </c>
      <c r="AX23" s="170">
        <v>7.973865687388433</v>
      </c>
      <c r="AY23" s="168"/>
      <c r="AZ23" s="168"/>
      <c r="BA23" s="168"/>
      <c r="BB23" s="168"/>
      <c r="BC23" s="168"/>
      <c r="BD23" s="168"/>
      <c r="BE23" s="168"/>
      <c r="BF23" s="168"/>
    </row>
    <row r="24" spans="1:58" ht="15.75">
      <c r="A24" s="167">
        <v>4.4</v>
      </c>
      <c r="B24" s="170">
        <v>8.660522165993031</v>
      </c>
      <c r="C24" s="170">
        <v>8.64489532925376</v>
      </c>
      <c r="D24" s="170">
        <v>8.632152709385693</v>
      </c>
      <c r="E24" s="170">
        <v>8.618311529128253</v>
      </c>
      <c r="F24" s="170">
        <v>8.605888444092885</v>
      </c>
      <c r="G24" s="170">
        <v>8.593639776869313</v>
      </c>
      <c r="H24" s="170">
        <v>8.575909753804178</v>
      </c>
      <c r="I24" s="170">
        <v>8.562998036865043</v>
      </c>
      <c r="J24" s="170">
        <v>8.54989273641917</v>
      </c>
      <c r="K24" s="170">
        <v>8.536879378592445</v>
      </c>
      <c r="L24" s="170">
        <v>8.523873987660929</v>
      </c>
      <c r="M24" s="170">
        <v>8.510916416207552</v>
      </c>
      <c r="N24" s="170">
        <v>8.497836162220926</v>
      </c>
      <c r="O24" s="170">
        <v>8.48481550566801</v>
      </c>
      <c r="P24" s="170">
        <v>8.47181253342759</v>
      </c>
      <c r="Q24" s="170">
        <v>8.458974873262283</v>
      </c>
      <c r="R24" s="170">
        <v>8.446113202384067</v>
      </c>
      <c r="S24" s="170">
        <v>8.432971223192215</v>
      </c>
      <c r="T24" s="170">
        <v>8.420016974264101</v>
      </c>
      <c r="U24" s="170">
        <v>8.407225875242196</v>
      </c>
      <c r="V24" s="170">
        <v>8.394486855886127</v>
      </c>
      <c r="W24" s="170">
        <v>8.38166996097647</v>
      </c>
      <c r="X24" s="170">
        <v>8.369029007195778</v>
      </c>
      <c r="Y24" s="170">
        <v>8.356396081275347</v>
      </c>
      <c r="Z24" s="170">
        <v>8.34384921886066</v>
      </c>
      <c r="AA24" s="170">
        <v>8.331073167794864</v>
      </c>
      <c r="AB24" s="170">
        <v>8.317633391745469</v>
      </c>
      <c r="AC24" s="170">
        <v>8.303750082378253</v>
      </c>
      <c r="AD24" s="170">
        <v>8.290146714158151</v>
      </c>
      <c r="AE24" s="170">
        <v>8.276173276932862</v>
      </c>
      <c r="AF24" s="170">
        <v>8.261961841236676</v>
      </c>
      <c r="AG24" s="170">
        <v>8.247778500391444</v>
      </c>
      <c r="AH24" s="170">
        <v>8.23327063378812</v>
      </c>
      <c r="AI24" s="170">
        <v>8.218915796347737</v>
      </c>
      <c r="AJ24" s="170">
        <v>8.204384153223225</v>
      </c>
      <c r="AK24" s="170">
        <v>8.189763220671239</v>
      </c>
      <c r="AL24" s="170">
        <v>8.175029750427631</v>
      </c>
      <c r="AM24" s="170">
        <v>8.16023895170594</v>
      </c>
      <c r="AN24" s="170">
        <v>8.145394226101843</v>
      </c>
      <c r="AO24" s="170">
        <v>8.130507448018404</v>
      </c>
      <c r="AP24" s="170">
        <v>8.11534905346178</v>
      </c>
      <c r="AQ24" s="170">
        <v>8.100473660946376</v>
      </c>
      <c r="AR24" s="170">
        <v>8.085374225130304</v>
      </c>
      <c r="AS24" s="170">
        <v>8.070204176953508</v>
      </c>
      <c r="AT24" s="170">
        <v>8.054780674591544</v>
      </c>
      <c r="AU24" s="170">
        <v>8.039660774343114</v>
      </c>
      <c r="AV24" s="170">
        <v>8.024307055638749</v>
      </c>
      <c r="AW24" s="170">
        <v>8.00887320423611</v>
      </c>
      <c r="AX24" s="170">
        <v>7.9933316764020415</v>
      </c>
      <c r="AY24" s="168"/>
      <c r="AZ24" s="168"/>
      <c r="BA24" s="168"/>
      <c r="BB24" s="168"/>
      <c r="BC24" s="168"/>
      <c r="BD24" s="168"/>
      <c r="BE24" s="168"/>
      <c r="BF24" s="168"/>
    </row>
    <row r="25" spans="1:58" ht="15.75">
      <c r="A25" s="167">
        <v>4.6000000000000005</v>
      </c>
      <c r="B25" s="170">
        <v>8.676148920726849</v>
      </c>
      <c r="C25" s="170">
        <v>8.660642936183546</v>
      </c>
      <c r="D25" s="170">
        <v>8.647966801399809</v>
      </c>
      <c r="E25" s="170">
        <v>8.634233151305462</v>
      </c>
      <c r="F25" s="170">
        <v>8.621932008899192</v>
      </c>
      <c r="G25" s="170">
        <v>8.60961321270892</v>
      </c>
      <c r="H25" s="170">
        <v>8.591959959616043</v>
      </c>
      <c r="I25" s="170">
        <v>8.579068760157668</v>
      </c>
      <c r="J25" s="170">
        <v>8.566057265602439</v>
      </c>
      <c r="K25" s="170">
        <v>8.553080665664517</v>
      </c>
      <c r="L25" s="170">
        <v>8.54020709745429</v>
      </c>
      <c r="M25" s="170">
        <v>8.527362792172198</v>
      </c>
      <c r="N25" s="170">
        <v>8.514375501111338</v>
      </c>
      <c r="O25" s="170">
        <v>8.501462090788499</v>
      </c>
      <c r="P25" s="170">
        <v>8.488542475641127</v>
      </c>
      <c r="Q25" s="170">
        <v>8.475785295335735</v>
      </c>
      <c r="R25" s="170">
        <v>8.462882693440097</v>
      </c>
      <c r="S25" s="170">
        <v>8.450134239363711</v>
      </c>
      <c r="T25" s="170">
        <v>8.437364345542047</v>
      </c>
      <c r="U25" s="170">
        <v>8.424707206568915</v>
      </c>
      <c r="V25" s="170">
        <v>8.412140442548099</v>
      </c>
      <c r="W25" s="170">
        <v>8.399653108877274</v>
      </c>
      <c r="X25" s="170">
        <v>8.38729347201129</v>
      </c>
      <c r="Y25" s="170">
        <v>8.37456723462684</v>
      </c>
      <c r="Z25" s="170">
        <v>8.361946292462013</v>
      </c>
      <c r="AA25" s="170">
        <v>8.34840153273509</v>
      </c>
      <c r="AB25" s="170">
        <v>8.33465340038427</v>
      </c>
      <c r="AC25" s="170">
        <v>8.321322354677118</v>
      </c>
      <c r="AD25" s="170">
        <v>8.307444054443666</v>
      </c>
      <c r="AE25" s="170">
        <v>8.29339799928268</v>
      </c>
      <c r="AF25" s="170">
        <v>8.279300013883317</v>
      </c>
      <c r="AG25" s="170">
        <v>8.265051397314254</v>
      </c>
      <c r="AH25" s="170">
        <v>8.25066785714255</v>
      </c>
      <c r="AI25" s="170">
        <v>8.236331015128426</v>
      </c>
      <c r="AJ25" s="170">
        <v>8.221795809887421</v>
      </c>
      <c r="AK25" s="170">
        <v>8.207270455003249</v>
      </c>
      <c r="AL25" s="170">
        <v>8.192530430608471</v>
      </c>
      <c r="AM25" s="170">
        <v>8.177998027811604</v>
      </c>
      <c r="AN25" s="170">
        <v>8.1632868806685</v>
      </c>
      <c r="AO25" s="170">
        <v>8.148388477592801</v>
      </c>
      <c r="AP25" s="170">
        <v>8.13354847290175</v>
      </c>
      <c r="AQ25" s="170">
        <v>8.118606752277314</v>
      </c>
      <c r="AR25" s="170">
        <v>8.103601153227027</v>
      </c>
      <c r="AS25" s="170">
        <v>8.088535737271632</v>
      </c>
      <c r="AT25" s="170">
        <v>8.073389576349333</v>
      </c>
      <c r="AU25" s="170">
        <v>8.058240857841229</v>
      </c>
      <c r="AV25" s="170">
        <v>8.043010357783563</v>
      </c>
      <c r="AW25" s="170">
        <v>8.027677778560552</v>
      </c>
      <c r="AX25" s="170">
        <v>8.012306233410195</v>
      </c>
      <c r="AY25" s="168"/>
      <c r="AZ25" s="168"/>
      <c r="BA25" s="168"/>
      <c r="BB25" s="168"/>
      <c r="BC25" s="168"/>
      <c r="BD25" s="168"/>
      <c r="BE25" s="168"/>
      <c r="BF25" s="168"/>
    </row>
    <row r="26" spans="1:58" ht="15.75">
      <c r="A26" s="167">
        <v>4.800000000000001</v>
      </c>
      <c r="B26" s="170">
        <v>8.691224656039969</v>
      </c>
      <c r="C26" s="170">
        <v>8.676304266580505</v>
      </c>
      <c r="D26" s="170">
        <v>8.663585874987108</v>
      </c>
      <c r="E26" s="170">
        <v>8.65007579074418</v>
      </c>
      <c r="F26" s="170">
        <v>8.63794475933141</v>
      </c>
      <c r="G26" s="170">
        <v>8.625536756419889</v>
      </c>
      <c r="H26" s="170">
        <v>8.607978164034606</v>
      </c>
      <c r="I26" s="170">
        <v>8.595171153393666</v>
      </c>
      <c r="J26" s="170">
        <v>8.582145585729462</v>
      </c>
      <c r="K26" s="170">
        <v>8.569181767195188</v>
      </c>
      <c r="L26" s="170">
        <v>8.556427631960126</v>
      </c>
      <c r="M26" s="170">
        <v>8.54363863440626</v>
      </c>
      <c r="N26" s="170">
        <v>8.530706082741872</v>
      </c>
      <c r="O26" s="170">
        <v>8.51792959248949</v>
      </c>
      <c r="P26" s="170">
        <v>8.505124093948977</v>
      </c>
      <c r="Q26" s="170">
        <v>8.492551000198922</v>
      </c>
      <c r="R26" s="170">
        <v>8.480052537766941</v>
      </c>
      <c r="S26" s="170">
        <v>8.467217017787165</v>
      </c>
      <c r="T26" s="170">
        <v>8.454636362547216</v>
      </c>
      <c r="U26" s="170">
        <v>8.44227132267398</v>
      </c>
      <c r="V26" s="170">
        <v>8.429867559932424</v>
      </c>
      <c r="W26" s="170">
        <v>8.41761801747441</v>
      </c>
      <c r="X26" s="170">
        <v>8.405194755878341</v>
      </c>
      <c r="Y26" s="170">
        <v>8.392024890552722</v>
      </c>
      <c r="Z26" s="170">
        <v>8.378713162877025</v>
      </c>
      <c r="AA26" s="170">
        <v>8.36552250777994</v>
      </c>
      <c r="AB26" s="170">
        <v>8.351998739430963</v>
      </c>
      <c r="AC26" s="170">
        <v>8.3382828966472</v>
      </c>
      <c r="AD26" s="170">
        <v>8.32441700016372</v>
      </c>
      <c r="AE26" s="170">
        <v>8.310435280723631</v>
      </c>
      <c r="AF26" s="170">
        <v>8.296342749596775</v>
      </c>
      <c r="AG26" s="170">
        <v>8.282147406664986</v>
      </c>
      <c r="AH26" s="170">
        <v>8.267804392660603</v>
      </c>
      <c r="AI26" s="170">
        <v>8.253488204478176</v>
      </c>
      <c r="AJ26" s="170">
        <v>8.23909471350798</v>
      </c>
      <c r="AK26" s="170">
        <v>8.22460883421876</v>
      </c>
      <c r="AL26" s="170">
        <v>8.209994784151801</v>
      </c>
      <c r="AM26" s="170">
        <v>8.195503916643188</v>
      </c>
      <c r="AN26" s="170">
        <v>8.180816301921114</v>
      </c>
      <c r="AO26" s="170">
        <v>8.166103629006855</v>
      </c>
      <c r="AP26" s="170">
        <v>8.151229772972165</v>
      </c>
      <c r="AQ26" s="170">
        <v>8.13639656896252</v>
      </c>
      <c r="AR26" s="170">
        <v>8.12156397277004</v>
      </c>
      <c r="AS26" s="170">
        <v>8.106599021739935</v>
      </c>
      <c r="AT26" s="170">
        <v>8.091441017805561</v>
      </c>
      <c r="AU26" s="170">
        <v>8.07652824633666</v>
      </c>
      <c r="AV26" s="170">
        <v>8.06127410213836</v>
      </c>
      <c r="AW26" s="170">
        <v>8.046151687754346</v>
      </c>
      <c r="AX26" s="170">
        <v>8.030929359244691</v>
      </c>
      <c r="AY26" s="168"/>
      <c r="AZ26" s="168"/>
      <c r="BA26" s="168"/>
      <c r="BB26" s="168"/>
      <c r="BC26" s="168"/>
      <c r="BD26" s="168"/>
      <c r="BE26" s="168"/>
      <c r="BF26" s="168"/>
    </row>
    <row r="27" spans="1:58" ht="15.75">
      <c r="A27" s="167">
        <v>5</v>
      </c>
      <c r="B27" s="170">
        <v>6.980772600077076</v>
      </c>
      <c r="C27" s="170">
        <v>8.691884878865965</v>
      </c>
      <c r="D27" s="170">
        <v>8.679284447531451</v>
      </c>
      <c r="E27" s="170">
        <v>8.665825995872465</v>
      </c>
      <c r="F27" s="170">
        <v>8.653564009810948</v>
      </c>
      <c r="G27" s="170">
        <v>8.641307902686567</v>
      </c>
      <c r="H27" s="170">
        <v>8.62380498529887</v>
      </c>
      <c r="I27" s="170">
        <v>8.611010375023765</v>
      </c>
      <c r="J27" s="170">
        <v>8.598184102483083</v>
      </c>
      <c r="K27" s="170">
        <v>8.585325800573747</v>
      </c>
      <c r="L27" s="170">
        <v>8.572547226097189</v>
      </c>
      <c r="M27" s="170">
        <v>8.55991140845587</v>
      </c>
      <c r="N27" s="170">
        <v>8.547130930880893</v>
      </c>
      <c r="O27" s="170">
        <v>8.53429910536661</v>
      </c>
      <c r="P27" s="170">
        <v>8.521720148206576</v>
      </c>
      <c r="Q27" s="170">
        <v>8.50927190037908</v>
      </c>
      <c r="R27" s="170">
        <v>8.496737304765494</v>
      </c>
      <c r="S27" s="170">
        <v>8.484260694726744</v>
      </c>
      <c r="T27" s="170">
        <v>8.471946924410261</v>
      </c>
      <c r="U27" s="170">
        <v>8.459713140444643</v>
      </c>
      <c r="V27" s="170">
        <v>8.44754422281176</v>
      </c>
      <c r="W27" s="170">
        <v>8.435067769068182</v>
      </c>
      <c r="X27" s="170">
        <v>8.42210604929549</v>
      </c>
      <c r="Y27" s="170">
        <v>8.408834377941103</v>
      </c>
      <c r="Z27" s="170">
        <v>8.395790192655133</v>
      </c>
      <c r="AA27" s="170">
        <v>8.382296842374585</v>
      </c>
      <c r="AB27" s="170">
        <v>6.841268458684882</v>
      </c>
      <c r="AC27" s="170">
        <v>8.355046892585134</v>
      </c>
      <c r="AD27" s="170">
        <v>6.941472085311702</v>
      </c>
      <c r="AE27" s="170">
        <v>8.327200716125617</v>
      </c>
      <c r="AF27" s="170">
        <v>7.234409104209654</v>
      </c>
      <c r="AG27" s="170">
        <v>8.298969006251795</v>
      </c>
      <c r="AH27" s="170">
        <v>7.208574309748966</v>
      </c>
      <c r="AI27" s="170">
        <v>8.27053537997166</v>
      </c>
      <c r="AJ27" s="170">
        <v>8.256171528715413</v>
      </c>
      <c r="AK27" s="170">
        <v>8.241717758733438</v>
      </c>
      <c r="AL27" s="170">
        <v>8.22724219539064</v>
      </c>
      <c r="AM27" s="170">
        <v>8.212715254600297</v>
      </c>
      <c r="AN27" s="170">
        <v>8.198124214997332</v>
      </c>
      <c r="AO27" s="170">
        <v>8.183494137979661</v>
      </c>
      <c r="AP27" s="170">
        <v>8.168737418828954</v>
      </c>
      <c r="AQ27" s="170">
        <v>8.153978925081617</v>
      </c>
      <c r="AR27" s="170">
        <v>8.139145378787166</v>
      </c>
      <c r="AS27" s="170">
        <v>8.124322929789585</v>
      </c>
      <c r="AT27" s="170">
        <v>8.109353200450956</v>
      </c>
      <c r="AU27" s="170">
        <v>8.09436957661843</v>
      </c>
      <c r="AV27" s="170">
        <v>8.079394928580548</v>
      </c>
      <c r="AW27" s="170">
        <v>8.064306675579513</v>
      </c>
      <c r="AX27" s="170">
        <v>8.04917892277842</v>
      </c>
      <c r="AY27" s="168"/>
      <c r="AZ27" s="168"/>
      <c r="BA27" s="168"/>
      <c r="BB27" s="168"/>
      <c r="BC27" s="168"/>
      <c r="BD27" s="168"/>
      <c r="BE27" s="168"/>
      <c r="BF27" s="168"/>
    </row>
    <row r="28" spans="1:58" ht="15.75">
      <c r="A28" s="167">
        <v>5.2</v>
      </c>
      <c r="B28" s="170">
        <v>8.722072168280402</v>
      </c>
      <c r="C28" s="170">
        <v>8.706631128741899</v>
      </c>
      <c r="D28" s="170">
        <v>8.694212852105508</v>
      </c>
      <c r="E28" s="170">
        <v>8.681379183540683</v>
      </c>
      <c r="F28" s="170">
        <v>8.669130588629656</v>
      </c>
      <c r="G28" s="170">
        <v>8.65716277397513</v>
      </c>
      <c r="H28" s="170">
        <v>8.639652593839653</v>
      </c>
      <c r="I28" s="170">
        <v>8.626934050288003</v>
      </c>
      <c r="J28" s="170">
        <v>8.61402828758012</v>
      </c>
      <c r="K28" s="170">
        <v>8.601282715644487</v>
      </c>
      <c r="L28" s="170">
        <v>8.588573583673506</v>
      </c>
      <c r="M28" s="170">
        <v>8.576033411365511</v>
      </c>
      <c r="N28" s="170">
        <v>8.563372171220605</v>
      </c>
      <c r="O28" s="170">
        <v>8.55083619837911</v>
      </c>
      <c r="P28" s="170">
        <v>8.538279055584187</v>
      </c>
      <c r="Q28" s="170">
        <v>8.526049507056857</v>
      </c>
      <c r="R28" s="170">
        <v>8.513775726626882</v>
      </c>
      <c r="S28" s="170">
        <v>8.501334895059548</v>
      </c>
      <c r="T28" s="170">
        <v>8.489234175993396</v>
      </c>
      <c r="U28" s="170">
        <v>8.476952114299538</v>
      </c>
      <c r="V28" s="170">
        <v>8.464475666551266</v>
      </c>
      <c r="W28" s="170">
        <v>8.4517354305532</v>
      </c>
      <c r="X28" s="170">
        <v>8.438782686132436</v>
      </c>
      <c r="Y28" s="170">
        <v>8.425676115102444</v>
      </c>
      <c r="Z28" s="170">
        <v>8.412290645765813</v>
      </c>
      <c r="AA28" s="170">
        <v>8.39891425374116</v>
      </c>
      <c r="AB28" s="170">
        <v>8.385268345827132</v>
      </c>
      <c r="AC28" s="170">
        <v>8.371588815102433</v>
      </c>
      <c r="AD28" s="170">
        <v>8.357693305258657</v>
      </c>
      <c r="AE28" s="170">
        <v>8.343796968402398</v>
      </c>
      <c r="AF28" s="170">
        <v>8.32979640640907</v>
      </c>
      <c r="AG28" s="170">
        <v>8.31567591576292</v>
      </c>
      <c r="AH28" s="170">
        <v>8.301513559898718</v>
      </c>
      <c r="AI28" s="170">
        <v>8.287247852430612</v>
      </c>
      <c r="AJ28" s="170">
        <v>8.272971225215628</v>
      </c>
      <c r="AK28" s="170">
        <v>8.258608055851568</v>
      </c>
      <c r="AL28" s="170">
        <v>8.244181721464367</v>
      </c>
      <c r="AM28" s="170">
        <v>8.229714233671608</v>
      </c>
      <c r="AN28" s="170">
        <v>8.215167827059494</v>
      </c>
      <c r="AO28" s="170">
        <v>8.200587115096146</v>
      </c>
      <c r="AP28" s="170">
        <v>8.185888479770723</v>
      </c>
      <c r="AQ28" s="170">
        <v>8.17125161651212</v>
      </c>
      <c r="AR28" s="170">
        <v>8.156585301430589</v>
      </c>
      <c r="AS28" s="170">
        <v>8.141823406262265</v>
      </c>
      <c r="AT28" s="170">
        <v>8.126863076597655</v>
      </c>
      <c r="AU28" s="170">
        <v>8.112051600506838</v>
      </c>
      <c r="AV28" s="170">
        <v>8.09718680016623</v>
      </c>
      <c r="AW28" s="170">
        <v>8.082167066929156</v>
      </c>
      <c r="AX28" s="170">
        <v>8.067148611974023</v>
      </c>
      <c r="AY28" s="168"/>
      <c r="AZ28" s="168"/>
      <c r="BA28" s="168"/>
      <c r="BB28" s="168"/>
      <c r="BC28" s="168"/>
      <c r="BD28" s="168"/>
      <c r="BE28" s="168"/>
      <c r="BF28" s="168"/>
    </row>
    <row r="29" spans="1:58" ht="15.75">
      <c r="A29" s="167">
        <v>5.4</v>
      </c>
      <c r="B29" s="170">
        <v>8.737271289422402</v>
      </c>
      <c r="C29" s="170">
        <v>8.722228838154779</v>
      </c>
      <c r="D29" s="170">
        <v>8.709484916199305</v>
      </c>
      <c r="E29" s="170">
        <v>8.697281290630539</v>
      </c>
      <c r="F29" s="170">
        <v>8.68506118739114</v>
      </c>
      <c r="G29" s="170">
        <v>8.673086424898779</v>
      </c>
      <c r="H29" s="170">
        <v>8.655348878058504</v>
      </c>
      <c r="I29" s="170">
        <v>8.642796001925236</v>
      </c>
      <c r="J29" s="170">
        <v>8.629897234468983</v>
      </c>
      <c r="K29" s="170">
        <v>8.617223756224664</v>
      </c>
      <c r="L29" s="170">
        <v>8.604524212337381</v>
      </c>
      <c r="M29" s="170">
        <v>8.59220246041469</v>
      </c>
      <c r="N29" s="170">
        <v>8.58012120796314</v>
      </c>
      <c r="O29" s="170">
        <v>8.567316253937415</v>
      </c>
      <c r="P29" s="170">
        <v>8.554825357775673</v>
      </c>
      <c r="Q29" s="170">
        <v>8.5427020010909</v>
      </c>
      <c r="R29" s="170">
        <v>8.53050490661542</v>
      </c>
      <c r="S29" s="170">
        <v>8.51837768810413</v>
      </c>
      <c r="T29" s="170">
        <v>8.506149573517543</v>
      </c>
      <c r="U29" s="170">
        <v>8.493664618574204</v>
      </c>
      <c r="V29" s="170">
        <v>8.481056170050055</v>
      </c>
      <c r="W29" s="170">
        <v>8.468260100114186</v>
      </c>
      <c r="X29" s="170">
        <v>8.455307144256166</v>
      </c>
      <c r="Y29" s="170">
        <v>8.441995158937116</v>
      </c>
      <c r="Z29" s="170">
        <v>8.428771756185913</v>
      </c>
      <c r="AA29" s="170">
        <v>8.415278676437769</v>
      </c>
      <c r="AB29" s="170">
        <v>8.401702705567464</v>
      </c>
      <c r="AC29" s="170">
        <v>8.387864928817887</v>
      </c>
      <c r="AD29" s="170">
        <v>8.374067506790919</v>
      </c>
      <c r="AE29" s="170">
        <v>8.360160731604761</v>
      </c>
      <c r="AF29" s="170">
        <v>8.346239350352276</v>
      </c>
      <c r="AG29" s="170">
        <v>8.33214629537738</v>
      </c>
      <c r="AH29" s="170">
        <v>8.317956582073473</v>
      </c>
      <c r="AI29" s="170">
        <v>8.303864714190329</v>
      </c>
      <c r="AJ29" s="170">
        <v>8.289610637814256</v>
      </c>
      <c r="AK29" s="170">
        <v>8.275239027705506</v>
      </c>
      <c r="AL29" s="170">
        <v>8.260933029695385</v>
      </c>
      <c r="AM29" s="170">
        <v>8.246481736206741</v>
      </c>
      <c r="AN29" s="170">
        <v>8.232071310722118</v>
      </c>
      <c r="AO29" s="170">
        <v>8.217500141231776</v>
      </c>
      <c r="AP29" s="170">
        <v>8.20293766356788</v>
      </c>
      <c r="AQ29" s="170">
        <v>8.188418430837288</v>
      </c>
      <c r="AR29" s="170">
        <v>8.173772816856616</v>
      </c>
      <c r="AS29" s="170">
        <v>8.159022274987553</v>
      </c>
      <c r="AT29" s="170">
        <v>8.144265993095507</v>
      </c>
      <c r="AU29" s="170">
        <v>8.12947260621528</v>
      </c>
      <c r="AV29" s="170">
        <v>8.114668679011679</v>
      </c>
      <c r="AW29" s="170">
        <v>8.099652400375993</v>
      </c>
      <c r="AX29" s="170">
        <v>8.084679980492362</v>
      </c>
      <c r="AY29" s="168"/>
      <c r="AZ29" s="168"/>
      <c r="BA29" s="168"/>
      <c r="BB29" s="168"/>
      <c r="BC29" s="168"/>
      <c r="BD29" s="168"/>
      <c r="BE29" s="168"/>
      <c r="BF29" s="168"/>
    </row>
    <row r="30" spans="1:58" ht="15.75">
      <c r="A30" s="167">
        <v>5.6000000000000005</v>
      </c>
      <c r="B30" s="170">
        <v>8.753239408899837</v>
      </c>
      <c r="C30" s="170">
        <v>8.740632374782887</v>
      </c>
      <c r="D30" s="170">
        <v>8.725591500307255</v>
      </c>
      <c r="E30" s="170">
        <v>8.712458997954398</v>
      </c>
      <c r="F30" s="170">
        <v>8.700253827711057</v>
      </c>
      <c r="G30" s="170">
        <v>8.688268260557717</v>
      </c>
      <c r="H30" s="170">
        <v>8.670994664436625</v>
      </c>
      <c r="I30" s="170">
        <v>8.658502021348546</v>
      </c>
      <c r="J30" s="170">
        <v>8.645636928499993</v>
      </c>
      <c r="K30" s="170">
        <v>8.63326650900555</v>
      </c>
      <c r="L30" s="170">
        <v>8.62089419568081</v>
      </c>
      <c r="M30" s="170">
        <v>8.608490520891904</v>
      </c>
      <c r="N30" s="170">
        <v>8.596126775728127</v>
      </c>
      <c r="O30" s="170">
        <v>8.583807989731365</v>
      </c>
      <c r="P30" s="170">
        <v>8.571445366679859</v>
      </c>
      <c r="Q30" s="170">
        <v>8.559351231342731</v>
      </c>
      <c r="R30" s="170">
        <v>8.547199152896845</v>
      </c>
      <c r="S30" s="170">
        <v>8.534966991686424</v>
      </c>
      <c r="T30" s="170">
        <v>8.522603109103942</v>
      </c>
      <c r="U30" s="170">
        <v>8.51015204087057</v>
      </c>
      <c r="V30" s="170">
        <v>8.497485496438927</v>
      </c>
      <c r="W30" s="170">
        <v>8.484599303282343</v>
      </c>
      <c r="X30" s="170">
        <v>8.471511862807382</v>
      </c>
      <c r="Y30" s="170">
        <v>8.458225177850709</v>
      </c>
      <c r="Z30" s="170">
        <v>8.444963543357861</v>
      </c>
      <c r="AA30" s="170">
        <v>8.43140795675715</v>
      </c>
      <c r="AB30" s="170">
        <v>8.417795634428382</v>
      </c>
      <c r="AC30" s="170">
        <v>8.40409992591921</v>
      </c>
      <c r="AD30" s="170">
        <v>8.39026875815569</v>
      </c>
      <c r="AE30" s="170">
        <v>8.376389776484526</v>
      </c>
      <c r="AF30" s="170">
        <v>8.362440971441128</v>
      </c>
      <c r="AG30" s="170">
        <v>8.34844147505177</v>
      </c>
      <c r="AH30" s="170">
        <v>8.334343860098413</v>
      </c>
      <c r="AI30" s="170">
        <v>8.320196136112724</v>
      </c>
      <c r="AJ30" s="170">
        <v>8.306052971815522</v>
      </c>
      <c r="AK30" s="170">
        <v>8.291815151581122</v>
      </c>
      <c r="AL30" s="170">
        <v>8.277450746888</v>
      </c>
      <c r="AM30" s="170">
        <v>8.263147867751334</v>
      </c>
      <c r="AN30" s="170">
        <v>8.248786189015076</v>
      </c>
      <c r="AO30" s="170">
        <v>8.234293329165219</v>
      </c>
      <c r="AP30" s="170">
        <v>8.219752201386521</v>
      </c>
      <c r="AQ30" s="170">
        <v>8.205290829688018</v>
      </c>
      <c r="AR30" s="170">
        <v>8.190670750186406</v>
      </c>
      <c r="AS30" s="170">
        <v>8.176038789788018</v>
      </c>
      <c r="AT30" s="170">
        <v>8.161287741667618</v>
      </c>
      <c r="AU30" s="170">
        <v>8.146700546799806</v>
      </c>
      <c r="AV30" s="170">
        <v>8.131777714750799</v>
      </c>
      <c r="AW30" s="170">
        <v>8.11707865997099</v>
      </c>
      <c r="AX30" s="170">
        <v>8.102389892243169</v>
      </c>
      <c r="AY30" s="168"/>
      <c r="AZ30" s="168"/>
      <c r="BA30" s="168"/>
      <c r="BB30" s="168"/>
      <c r="BC30" s="168"/>
      <c r="BD30" s="168"/>
      <c r="BE30" s="168"/>
      <c r="BF30" s="168"/>
    </row>
    <row r="31" spans="1:58" ht="15.75">
      <c r="A31" s="167">
        <v>5.800000000000001</v>
      </c>
      <c r="B31" s="170">
        <v>8.768369757653979</v>
      </c>
      <c r="C31" s="170">
        <v>8.755580119600166</v>
      </c>
      <c r="D31" s="170">
        <v>8.74100411389699</v>
      </c>
      <c r="E31" s="170">
        <v>8.727866159896015</v>
      </c>
      <c r="F31" s="170">
        <v>8.715880184212988</v>
      </c>
      <c r="G31" s="170">
        <v>8.703810492219832</v>
      </c>
      <c r="H31" s="170">
        <v>8.686588324651456</v>
      </c>
      <c r="I31" s="170">
        <v>8.674059024511381</v>
      </c>
      <c r="J31" s="170">
        <v>8.661338701788104</v>
      </c>
      <c r="K31" s="170">
        <v>8.648951373879715</v>
      </c>
      <c r="L31" s="170">
        <v>8.636524379355572</v>
      </c>
      <c r="M31" s="170">
        <v>8.62450341613044</v>
      </c>
      <c r="N31" s="170">
        <v>8.612150858313568</v>
      </c>
      <c r="O31" s="170">
        <v>8.600029627656719</v>
      </c>
      <c r="P31" s="170">
        <v>8.587857613327177</v>
      </c>
      <c r="Q31" s="170">
        <v>8.575777519931137</v>
      </c>
      <c r="R31" s="170">
        <v>8.56355369327197</v>
      </c>
      <c r="S31" s="170">
        <v>8.551294339536426</v>
      </c>
      <c r="T31" s="170">
        <v>8.538944784162124</v>
      </c>
      <c r="U31" s="170">
        <v>8.52640958697506</v>
      </c>
      <c r="V31" s="170">
        <v>8.513678363793053</v>
      </c>
      <c r="W31" s="170">
        <v>8.50070416350643</v>
      </c>
      <c r="X31" s="170">
        <v>8.487635010419453</v>
      </c>
      <c r="Y31" s="170">
        <v>8.474232217777917</v>
      </c>
      <c r="Z31" s="170">
        <v>8.460923105453109</v>
      </c>
      <c r="AA31" s="170">
        <v>8.44743293014191</v>
      </c>
      <c r="AB31" s="170">
        <v>8.433844752565609</v>
      </c>
      <c r="AC31" s="170">
        <v>8.420064948483912</v>
      </c>
      <c r="AD31" s="170">
        <v>8.406320274697501</v>
      </c>
      <c r="AE31" s="170">
        <v>8.392437064486773</v>
      </c>
      <c r="AF31" s="170">
        <v>8.378550579205777</v>
      </c>
      <c r="AG31" s="170">
        <v>8.364554615339756</v>
      </c>
      <c r="AH31" s="170">
        <v>8.350460349827257</v>
      </c>
      <c r="AI31" s="170">
        <v>8.336436998436856</v>
      </c>
      <c r="AJ31" s="170">
        <v>8.322299330852731</v>
      </c>
      <c r="AK31" s="170">
        <v>8.308087042040366</v>
      </c>
      <c r="AL31" s="170">
        <v>8.293880780086708</v>
      </c>
      <c r="AM31" s="170">
        <v>8.279585475821296</v>
      </c>
      <c r="AN31" s="170">
        <v>8.265225156154411</v>
      </c>
      <c r="AO31" s="170">
        <v>8.250843965757781</v>
      </c>
      <c r="AP31" s="170">
        <v>8.236340225571944</v>
      </c>
      <c r="AQ31" s="170">
        <v>8.221971471185368</v>
      </c>
      <c r="AR31" s="170">
        <v>8.207385307434109</v>
      </c>
      <c r="AS31" s="170">
        <v>8.19284425611212</v>
      </c>
      <c r="AT31" s="170">
        <v>8.180699181640374</v>
      </c>
      <c r="AU31" s="170">
        <v>8.165961629400703</v>
      </c>
      <c r="AV31" s="170">
        <v>8.151256290703005</v>
      </c>
      <c r="AW31" s="170">
        <v>8.136464513573538</v>
      </c>
      <c r="AX31" s="170">
        <v>8.121688353169668</v>
      </c>
      <c r="AY31" s="168"/>
      <c r="AZ31" s="168"/>
      <c r="BA31" s="168"/>
      <c r="BB31" s="168"/>
      <c r="BC31" s="168"/>
      <c r="BD31" s="168"/>
      <c r="BE31" s="168"/>
      <c r="BF31" s="168"/>
    </row>
    <row r="32" spans="1:58" ht="15.75">
      <c r="A32" s="167">
        <v>6</v>
      </c>
      <c r="B32" s="170">
        <v>7.1145896290197665</v>
      </c>
      <c r="C32" s="170">
        <v>8.770817193832098</v>
      </c>
      <c r="D32" s="170">
        <v>8.755699197154684</v>
      </c>
      <c r="E32" s="170">
        <v>8.743102687543775</v>
      </c>
      <c r="F32" s="170">
        <v>8.7311213968253</v>
      </c>
      <c r="G32" s="170">
        <v>8.719250454136276</v>
      </c>
      <c r="H32" s="170">
        <v>8.701570936980255</v>
      </c>
      <c r="I32" s="170">
        <v>8.689720490230444</v>
      </c>
      <c r="J32" s="170">
        <v>8.677093214441403</v>
      </c>
      <c r="K32" s="170">
        <v>8.664670850999283</v>
      </c>
      <c r="L32" s="170">
        <v>8.65237017234411</v>
      </c>
      <c r="M32" s="170">
        <v>8.640366418791828</v>
      </c>
      <c r="N32" s="170">
        <v>8.628351721659195</v>
      </c>
      <c r="O32" s="170">
        <v>8.616246995481244</v>
      </c>
      <c r="P32" s="170">
        <v>8.60415739904022</v>
      </c>
      <c r="Q32" s="170">
        <v>8.592071506414275</v>
      </c>
      <c r="R32" s="170">
        <v>8.57977176505575</v>
      </c>
      <c r="S32" s="170">
        <v>8.567583801190532</v>
      </c>
      <c r="T32" s="170">
        <v>8.555133833492222</v>
      </c>
      <c r="U32" s="170">
        <v>8.542516450541795</v>
      </c>
      <c r="V32" s="170">
        <v>8.529670531162312</v>
      </c>
      <c r="W32" s="170">
        <v>8.516684295867954</v>
      </c>
      <c r="X32" s="170">
        <v>8.503502073908928</v>
      </c>
      <c r="Y32" s="170">
        <v>8.490176663973852</v>
      </c>
      <c r="Z32" s="170">
        <v>8.476781630566734</v>
      </c>
      <c r="AA32" s="170">
        <v>8.46322102620632</v>
      </c>
      <c r="AB32" s="170">
        <v>8.449652110988517</v>
      </c>
      <c r="AC32" s="170">
        <v>8.435942972007592</v>
      </c>
      <c r="AD32" s="170">
        <v>8.42216508780231</v>
      </c>
      <c r="AE32" s="170">
        <v>8.408376392520728</v>
      </c>
      <c r="AF32" s="170">
        <v>8.394489812202828</v>
      </c>
      <c r="AG32" s="170">
        <v>8.380508869093255</v>
      </c>
      <c r="AH32" s="170">
        <v>8.3664944753057</v>
      </c>
      <c r="AI32" s="170">
        <v>8.352529270075957</v>
      </c>
      <c r="AJ32" s="170">
        <v>8.338435852823906</v>
      </c>
      <c r="AK32" s="170">
        <v>8.324260454989707</v>
      </c>
      <c r="AL32" s="170">
        <v>8.310043766040566</v>
      </c>
      <c r="AM32" s="170">
        <v>8.295823314536642</v>
      </c>
      <c r="AN32" s="170">
        <v>8.281559466763165</v>
      </c>
      <c r="AO32" s="170">
        <v>8.267249165052664</v>
      </c>
      <c r="AP32" s="170">
        <v>8.255336262430468</v>
      </c>
      <c r="AQ32" s="170">
        <v>8.240980729593758</v>
      </c>
      <c r="AR32" s="170">
        <v>8.226442138869844</v>
      </c>
      <c r="AS32" s="170">
        <v>8.211930934604124</v>
      </c>
      <c r="AT32" s="170">
        <v>8.197386368083066</v>
      </c>
      <c r="AU32" s="170">
        <v>8.182729967550658</v>
      </c>
      <c r="AV32" s="170">
        <v>8.168080761361734</v>
      </c>
      <c r="AW32" s="170">
        <v>8.153379272891543</v>
      </c>
      <c r="AX32" s="170">
        <v>8.138623818246757</v>
      </c>
      <c r="AY32" s="168"/>
      <c r="AZ32" s="168"/>
      <c r="BA32" s="168"/>
      <c r="BB32" s="168"/>
      <c r="BC32" s="168"/>
      <c r="BD32" s="168"/>
      <c r="BE32" s="168"/>
      <c r="BF32" s="168"/>
    </row>
    <row r="33" spans="1:58" ht="15.75">
      <c r="A33" s="167">
        <v>6.2</v>
      </c>
      <c r="B33" s="170">
        <v>8.798416464009287</v>
      </c>
      <c r="C33" s="170">
        <v>8.786364388157336</v>
      </c>
      <c r="D33" s="170">
        <v>8.770864940730121</v>
      </c>
      <c r="E33" s="170">
        <v>8.758519865057394</v>
      </c>
      <c r="F33" s="170">
        <v>8.74659054737981</v>
      </c>
      <c r="G33" s="170">
        <v>8.73461753456801</v>
      </c>
      <c r="H33" s="170">
        <v>8.71755098213866</v>
      </c>
      <c r="I33" s="170">
        <v>8.705265638349434</v>
      </c>
      <c r="J33" s="170">
        <v>8.692261345753101</v>
      </c>
      <c r="K33" s="170">
        <v>8.680446611709998</v>
      </c>
      <c r="L33" s="170">
        <v>8.668292690108686</v>
      </c>
      <c r="M33" s="170">
        <v>8.656234117935108</v>
      </c>
      <c r="N33" s="170">
        <v>8.644210166541615</v>
      </c>
      <c r="O33" s="170">
        <v>8.632292797719604</v>
      </c>
      <c r="P33" s="170">
        <v>8.620286734749874</v>
      </c>
      <c r="Q33" s="170">
        <v>8.608170516584401</v>
      </c>
      <c r="R33" s="170">
        <v>8.59605511459122</v>
      </c>
      <c r="S33" s="170">
        <v>8.583656965473919</v>
      </c>
      <c r="T33" s="170">
        <v>8.571177984761247</v>
      </c>
      <c r="U33" s="170">
        <v>8.558418369709676</v>
      </c>
      <c r="V33" s="170">
        <v>8.545523008516248</v>
      </c>
      <c r="W33" s="170">
        <v>8.532457376136808</v>
      </c>
      <c r="X33" s="170">
        <v>8.519233649974518</v>
      </c>
      <c r="Y33" s="170">
        <v>8.505820631365983</v>
      </c>
      <c r="Z33" s="170">
        <v>8.492482088358495</v>
      </c>
      <c r="AA33" s="170">
        <v>8.47891987655992</v>
      </c>
      <c r="AB33" s="170">
        <v>8.465280974793885</v>
      </c>
      <c r="AC33" s="170">
        <v>8.451638592089514</v>
      </c>
      <c r="AD33" s="170">
        <v>8.437901479646928</v>
      </c>
      <c r="AE33" s="170">
        <v>8.424106378740925</v>
      </c>
      <c r="AF33" s="170">
        <v>8.410282061470104</v>
      </c>
      <c r="AG33" s="170">
        <v>8.396390708449433</v>
      </c>
      <c r="AH33" s="170">
        <v>8.382402489470525</v>
      </c>
      <c r="AI33" s="170">
        <v>8.368429477896315</v>
      </c>
      <c r="AJ33" s="170">
        <v>8.354331007382605</v>
      </c>
      <c r="AK33" s="170">
        <v>8.342851966074035</v>
      </c>
      <c r="AL33" s="170">
        <v>8.32871708644557</v>
      </c>
      <c r="AM33" s="170">
        <v>8.31451310687068</v>
      </c>
      <c r="AN33" s="170">
        <v>8.300294339070783</v>
      </c>
      <c r="AO33" s="170">
        <v>8.285966745225846</v>
      </c>
      <c r="AP33" s="170">
        <v>8.271598521113374</v>
      </c>
      <c r="AQ33" s="170">
        <v>8.257222956749493</v>
      </c>
      <c r="AR33" s="170">
        <v>8.242854462527315</v>
      </c>
      <c r="AS33" s="170">
        <v>8.228324375585549</v>
      </c>
      <c r="AT33" s="170">
        <v>8.21380967445946</v>
      </c>
      <c r="AU33" s="170">
        <v>8.19930625033262</v>
      </c>
      <c r="AV33" s="170">
        <v>8.18474220699187</v>
      </c>
      <c r="AW33" s="170">
        <v>8.170094147379976</v>
      </c>
      <c r="AX33" s="170">
        <v>8.155440684468445</v>
      </c>
      <c r="AY33" s="168"/>
      <c r="AZ33" s="168"/>
      <c r="BA33" s="168"/>
      <c r="BB33" s="168"/>
      <c r="BC33" s="168"/>
      <c r="BD33" s="168"/>
      <c r="BE33" s="168"/>
      <c r="BF33" s="168"/>
    </row>
    <row r="34" spans="1:58" ht="15.75">
      <c r="A34" s="167">
        <v>6.4</v>
      </c>
      <c r="B34" s="170">
        <v>8.813256354383393</v>
      </c>
      <c r="C34" s="170">
        <v>8.801408492820533</v>
      </c>
      <c r="D34" s="170">
        <v>8.789369540654453</v>
      </c>
      <c r="E34" s="170">
        <v>8.774008418023604</v>
      </c>
      <c r="F34" s="170">
        <v>8.76170196603728</v>
      </c>
      <c r="G34" s="170">
        <v>8.749969409809035</v>
      </c>
      <c r="H34" s="170">
        <v>8.732915833243922</v>
      </c>
      <c r="I34" s="170">
        <v>8.720337135416779</v>
      </c>
      <c r="J34" s="170">
        <v>8.708013081722552</v>
      </c>
      <c r="K34" s="170">
        <v>8.695661716029736</v>
      </c>
      <c r="L34" s="170">
        <v>8.6841416393677</v>
      </c>
      <c r="M34" s="170">
        <v>8.6721470580891</v>
      </c>
      <c r="N34" s="170">
        <v>8.660290368434977</v>
      </c>
      <c r="O34" s="170">
        <v>8.648337186741518</v>
      </c>
      <c r="P34" s="170">
        <v>8.636387440991992</v>
      </c>
      <c r="Q34" s="170">
        <v>8.624216878724638</v>
      </c>
      <c r="R34" s="170">
        <v>8.611831021066976</v>
      </c>
      <c r="S34" s="170">
        <v>8.599586962477762</v>
      </c>
      <c r="T34" s="170">
        <v>8.587028747309807</v>
      </c>
      <c r="U34" s="170">
        <v>8.574201542217343</v>
      </c>
      <c r="V34" s="170">
        <v>8.561154688761379</v>
      </c>
      <c r="W34" s="170">
        <v>8.548088527628197</v>
      </c>
      <c r="X34" s="170">
        <v>8.53480874453393</v>
      </c>
      <c r="Y34" s="170">
        <v>8.521469776759364</v>
      </c>
      <c r="Z34" s="170">
        <v>8.508000179421805</v>
      </c>
      <c r="AA34" s="170">
        <v>8.494524114236482</v>
      </c>
      <c r="AB34" s="170">
        <v>8.480896338441307</v>
      </c>
      <c r="AC34" s="170">
        <v>8.467231921019492</v>
      </c>
      <c r="AD34" s="170">
        <v>8.453526179581186</v>
      </c>
      <c r="AE34" s="170">
        <v>8.442516840175914</v>
      </c>
      <c r="AF34" s="170">
        <v>8.428664371655415</v>
      </c>
      <c r="AG34" s="170">
        <v>8.414725301064703</v>
      </c>
      <c r="AH34" s="170">
        <v>8.400818422254991</v>
      </c>
      <c r="AI34" s="170">
        <v>8.386832863022944</v>
      </c>
      <c r="AJ34" s="170">
        <v>8.372789442681599</v>
      </c>
      <c r="AK34" s="170">
        <v>8.358767203679031</v>
      </c>
      <c r="AL34" s="170">
        <v>8.344650392450083</v>
      </c>
      <c r="AM34" s="170">
        <v>8.330465468021055</v>
      </c>
      <c r="AN34" s="170">
        <v>8.316240025728884</v>
      </c>
      <c r="AO34" s="170">
        <v>8.301993417144566</v>
      </c>
      <c r="AP34" s="170">
        <v>8.287677318471689</v>
      </c>
      <c r="AQ34" s="170">
        <v>8.273379848137811</v>
      </c>
      <c r="AR34" s="170">
        <v>8.259021201632054</v>
      </c>
      <c r="AS34" s="170">
        <v>8.244629653421729</v>
      </c>
      <c r="AT34" s="170">
        <v>8.230160942268675</v>
      </c>
      <c r="AU34" s="170">
        <v>8.215650506745995</v>
      </c>
      <c r="AV34" s="170">
        <v>8.201157823215356</v>
      </c>
      <c r="AW34" s="170">
        <v>8.186615452574602</v>
      </c>
      <c r="AX34" s="170">
        <v>8.172018140183107</v>
      </c>
      <c r="AY34" s="168"/>
      <c r="AZ34" s="168"/>
      <c r="BA34" s="168"/>
      <c r="BB34" s="168"/>
      <c r="BC34" s="168"/>
      <c r="BD34" s="168"/>
      <c r="BE34" s="168"/>
      <c r="BF34" s="168"/>
    </row>
    <row r="35" spans="1:58" ht="15.75">
      <c r="A35" s="167">
        <v>6.6000000000000005</v>
      </c>
      <c r="B35" s="170">
        <v>8.828121064318362</v>
      </c>
      <c r="C35" s="170">
        <v>8.816382850190484</v>
      </c>
      <c r="D35" s="170">
        <v>8.80445444890765</v>
      </c>
      <c r="E35" s="170">
        <v>8.791949621237169</v>
      </c>
      <c r="F35" s="170">
        <v>8.777105291625402</v>
      </c>
      <c r="G35" s="170">
        <v>8.765226499042711</v>
      </c>
      <c r="H35" s="170">
        <v>8.74790242232932</v>
      </c>
      <c r="I35" s="170">
        <v>8.73571295467667</v>
      </c>
      <c r="J35" s="170">
        <v>8.723382301522474</v>
      </c>
      <c r="K35" s="170">
        <v>8.711329836412592</v>
      </c>
      <c r="L35" s="170">
        <v>8.699980440107401</v>
      </c>
      <c r="M35" s="170">
        <v>8.688120255487927</v>
      </c>
      <c r="N35" s="170">
        <v>8.67615999404395</v>
      </c>
      <c r="O35" s="170">
        <v>8.66431866802358</v>
      </c>
      <c r="P35" s="170">
        <v>8.652341404895362</v>
      </c>
      <c r="Q35" s="170">
        <v>8.64016033869037</v>
      </c>
      <c r="R35" s="170">
        <v>8.627868952899526</v>
      </c>
      <c r="S35" s="170">
        <v>8.615343208803138</v>
      </c>
      <c r="T35" s="170">
        <v>8.60258222785052</v>
      </c>
      <c r="U35" s="170">
        <v>8.58975856799574</v>
      </c>
      <c r="V35" s="170">
        <v>8.576667243534198</v>
      </c>
      <c r="W35" s="170">
        <v>8.563570796450557</v>
      </c>
      <c r="X35" s="170">
        <v>8.55025980185179</v>
      </c>
      <c r="Y35" s="170">
        <v>8.53974193165413</v>
      </c>
      <c r="Z35" s="170">
        <v>8.526227954615583</v>
      </c>
      <c r="AA35" s="170">
        <v>8.512729078509377</v>
      </c>
      <c r="AB35" s="170">
        <v>8.499119048608422</v>
      </c>
      <c r="AC35" s="170">
        <v>8.485444548233716</v>
      </c>
      <c r="AD35" s="170">
        <v>8.471741310275448</v>
      </c>
      <c r="AE35" s="170">
        <v>8.457964814739777</v>
      </c>
      <c r="AF35" s="170">
        <v>8.444215060046853</v>
      </c>
      <c r="AG35" s="170">
        <v>8.430286242545918</v>
      </c>
      <c r="AH35" s="170">
        <v>8.416395745098441</v>
      </c>
      <c r="AI35" s="170">
        <v>8.402509401411075</v>
      </c>
      <c r="AJ35" s="170">
        <v>8.388453385040807</v>
      </c>
      <c r="AK35" s="170">
        <v>8.374451145199759</v>
      </c>
      <c r="AL35" s="170">
        <v>8.36037065372039</v>
      </c>
      <c r="AM35" s="170">
        <v>8.346291031855175</v>
      </c>
      <c r="AN35" s="170">
        <v>8.332078926307389</v>
      </c>
      <c r="AO35" s="170">
        <v>8.317914897473452</v>
      </c>
      <c r="AP35" s="170">
        <v>8.30364191701373</v>
      </c>
      <c r="AQ35" s="170">
        <v>8.28936276747856</v>
      </c>
      <c r="AR35" s="170">
        <v>8.27509777484091</v>
      </c>
      <c r="AS35" s="170">
        <v>8.260683918739169</v>
      </c>
      <c r="AT35" s="170">
        <v>8.246269368581627</v>
      </c>
      <c r="AU35" s="170">
        <v>8.231888323350129</v>
      </c>
      <c r="AV35" s="170">
        <v>8.217381712486082</v>
      </c>
      <c r="AW35" s="170">
        <v>8.202869338888151</v>
      </c>
      <c r="AX35" s="170">
        <v>8.188383957103447</v>
      </c>
      <c r="AY35" s="168"/>
      <c r="AZ35" s="168"/>
      <c r="BA35" s="168"/>
      <c r="BB35" s="168"/>
      <c r="BC35" s="168"/>
      <c r="BD35" s="168"/>
      <c r="BE35" s="168"/>
      <c r="BF35" s="168"/>
    </row>
    <row r="36" spans="1:58" ht="15.75">
      <c r="A36" s="167">
        <v>6.800000000000001</v>
      </c>
      <c r="B36" s="170">
        <v>8.842830083592254</v>
      </c>
      <c r="C36" s="170">
        <v>8.831172726219771</v>
      </c>
      <c r="D36" s="170">
        <v>8.819186431919954</v>
      </c>
      <c r="E36" s="170">
        <v>8.806638715377773</v>
      </c>
      <c r="F36" s="170">
        <v>8.794942456058022</v>
      </c>
      <c r="G36" s="170">
        <v>8.78328580537824</v>
      </c>
      <c r="H36" s="170">
        <v>8.76278649388197</v>
      </c>
      <c r="I36" s="170">
        <v>8.751317123883581</v>
      </c>
      <c r="J36" s="170">
        <v>8.739573879929893</v>
      </c>
      <c r="K36" s="170">
        <v>8.727219735892573</v>
      </c>
      <c r="L36" s="170">
        <v>8.715341592982057</v>
      </c>
      <c r="M36" s="170">
        <v>8.703983823523611</v>
      </c>
      <c r="N36" s="170">
        <v>8.692175524482629</v>
      </c>
      <c r="O36" s="170">
        <v>8.680215863626112</v>
      </c>
      <c r="P36" s="170">
        <v>8.670940660404572</v>
      </c>
      <c r="Q36" s="170">
        <v>8.658673272065036</v>
      </c>
      <c r="R36" s="170">
        <v>8.646280380117148</v>
      </c>
      <c r="S36" s="170">
        <v>8.63377046148557</v>
      </c>
      <c r="T36" s="170">
        <v>8.620843887266084</v>
      </c>
      <c r="U36" s="170">
        <v>8.607899682353075</v>
      </c>
      <c r="V36" s="170">
        <v>8.594811827963804</v>
      </c>
      <c r="W36" s="170">
        <v>8.581694713165955</v>
      </c>
      <c r="X36" s="170">
        <v>8.568393889403133</v>
      </c>
      <c r="Y36" s="170">
        <v>8.554973930788789</v>
      </c>
      <c r="Z36" s="170">
        <v>8.541503664313177</v>
      </c>
      <c r="AA36" s="170">
        <v>8.528000494930097</v>
      </c>
      <c r="AB36" s="170">
        <v>8.51441725637873</v>
      </c>
      <c r="AC36" s="170">
        <v>8.500812530174587</v>
      </c>
      <c r="AD36" s="170">
        <v>8.487115927968144</v>
      </c>
      <c r="AE36" s="170">
        <v>8.473372464100617</v>
      </c>
      <c r="AF36" s="170">
        <v>8.459593184049744</v>
      </c>
      <c r="AG36" s="170">
        <v>8.445800979895598</v>
      </c>
      <c r="AH36" s="170">
        <v>8.431927368690976</v>
      </c>
      <c r="AI36" s="170">
        <v>8.417958933364211</v>
      </c>
      <c r="AJ36" s="170">
        <v>8.404063547226663</v>
      </c>
      <c r="AK36" s="170">
        <v>8.390031820572073</v>
      </c>
      <c r="AL36" s="170">
        <v>8.3759885420403</v>
      </c>
      <c r="AM36" s="170">
        <v>8.361913865200906</v>
      </c>
      <c r="AN36" s="170">
        <v>8.34773432301065</v>
      </c>
      <c r="AO36" s="170">
        <v>8.333607363498658</v>
      </c>
      <c r="AP36" s="170">
        <v>8.31941916099396</v>
      </c>
      <c r="AQ36" s="170">
        <v>8.305222617365693</v>
      </c>
      <c r="AR36" s="170">
        <v>8.290913412892982</v>
      </c>
      <c r="AS36" s="170">
        <v>8.276671053789844</v>
      </c>
      <c r="AT36" s="170">
        <v>8.26229292586916</v>
      </c>
      <c r="AU36" s="170">
        <v>8.24791164811377</v>
      </c>
      <c r="AV36" s="170">
        <v>8.233481231045712</v>
      </c>
      <c r="AW36" s="170">
        <v>8.219046215988245</v>
      </c>
      <c r="AX36" s="170">
        <v>8.204645816533233</v>
      </c>
      <c r="AY36" s="168"/>
      <c r="AZ36" s="168"/>
      <c r="BA36" s="168"/>
      <c r="BB36" s="168"/>
      <c r="BC36" s="168"/>
      <c r="BD36" s="168"/>
      <c r="BE36" s="168"/>
      <c r="BF36" s="168"/>
    </row>
    <row r="37" spans="1:58" ht="15.75">
      <c r="A37" s="167">
        <v>7</v>
      </c>
      <c r="B37" s="170">
        <v>7.241647198820942</v>
      </c>
      <c r="C37" s="170">
        <v>8.845987006405698</v>
      </c>
      <c r="D37" s="170">
        <v>8.83421673156122</v>
      </c>
      <c r="E37" s="170">
        <v>8.821855234945401</v>
      </c>
      <c r="F37" s="170">
        <v>8.810136218598037</v>
      </c>
      <c r="G37" s="170">
        <v>8.798488358982796</v>
      </c>
      <c r="H37" s="170">
        <v>8.78201796678687</v>
      </c>
      <c r="I37" s="170">
        <v>8.769854923357453</v>
      </c>
      <c r="J37" s="170">
        <v>8.757730445757181</v>
      </c>
      <c r="K37" s="170">
        <v>8.746148191939985</v>
      </c>
      <c r="L37" s="170">
        <v>8.734010033549861</v>
      </c>
      <c r="M37" s="170">
        <v>8.722640325261377</v>
      </c>
      <c r="N37" s="170">
        <v>8.710722951336463</v>
      </c>
      <c r="O37" s="170">
        <v>8.698725292266564</v>
      </c>
      <c r="P37" s="170">
        <v>8.686435107984344</v>
      </c>
      <c r="Q37" s="170">
        <v>8.674115547307727</v>
      </c>
      <c r="R37" s="170">
        <v>8.66160475001129</v>
      </c>
      <c r="S37" s="170">
        <v>8.649136036047453</v>
      </c>
      <c r="T37" s="170">
        <v>8.636102143041635</v>
      </c>
      <c r="U37" s="170">
        <v>8.623076100854059</v>
      </c>
      <c r="V37" s="170">
        <v>8.610157177331512</v>
      </c>
      <c r="W37" s="170">
        <v>8.59690955912895</v>
      </c>
      <c r="X37" s="170">
        <v>8.583572517380391</v>
      </c>
      <c r="Y37" s="170">
        <v>8.570107821065498</v>
      </c>
      <c r="Z37" s="170">
        <v>8.556696213168244</v>
      </c>
      <c r="AA37" s="170">
        <v>8.543205580230914</v>
      </c>
      <c r="AB37" s="170">
        <v>8.529536240330712</v>
      </c>
      <c r="AC37" s="170">
        <v>8.515986681255574</v>
      </c>
      <c r="AD37" s="170">
        <v>8.502361345073856</v>
      </c>
      <c r="AE37" s="170">
        <v>8.488605907342919</v>
      </c>
      <c r="AF37" s="170">
        <v>8.474907862588552</v>
      </c>
      <c r="AG37" s="170">
        <v>8.461100645428035</v>
      </c>
      <c r="AH37" s="170">
        <v>8.447255906183562</v>
      </c>
      <c r="AI37" s="170">
        <v>8.433391000954902</v>
      </c>
      <c r="AJ37" s="170">
        <v>8.419424782023956</v>
      </c>
      <c r="AK37" s="170">
        <v>8.405517231717509</v>
      </c>
      <c r="AL37" s="170">
        <v>8.391517369243171</v>
      </c>
      <c r="AM37" s="170">
        <v>8.377404137748588</v>
      </c>
      <c r="AN37" s="170">
        <v>8.363356986088954</v>
      </c>
      <c r="AO37" s="170">
        <v>8.34922292028055</v>
      </c>
      <c r="AP37" s="170">
        <v>8.335056908518563</v>
      </c>
      <c r="AQ37" s="170">
        <v>8.32094830253158</v>
      </c>
      <c r="AR37" s="170">
        <v>8.306627585943772</v>
      </c>
      <c r="AS37" s="170">
        <v>8.292423006019039</v>
      </c>
      <c r="AT37" s="170">
        <v>8.278133522125485</v>
      </c>
      <c r="AU37" s="170">
        <v>8.26378859557256</v>
      </c>
      <c r="AV37" s="170">
        <v>8.24940456008423</v>
      </c>
      <c r="AW37" s="170">
        <v>8.235046843400353</v>
      </c>
      <c r="AX37" s="170">
        <v>8.220614272854457</v>
      </c>
      <c r="AY37" s="168"/>
      <c r="AZ37" s="168"/>
      <c r="BA37" s="168"/>
      <c r="BB37" s="168"/>
      <c r="BC37" s="168"/>
      <c r="BD37" s="168"/>
      <c r="BE37" s="168"/>
      <c r="BF37" s="168"/>
    </row>
    <row r="38" spans="1:58" ht="15.75">
      <c r="A38" s="167">
        <v>7.2</v>
      </c>
      <c r="B38" s="170">
        <v>8.8721512488837</v>
      </c>
      <c r="C38" s="170">
        <v>8.860623164747611</v>
      </c>
      <c r="D38" s="170">
        <v>8.848871853287424</v>
      </c>
      <c r="E38" s="170">
        <v>8.836648284114176</v>
      </c>
      <c r="F38" s="170">
        <v>8.825008777122717</v>
      </c>
      <c r="G38" s="170">
        <v>8.81366148822482</v>
      </c>
      <c r="H38" s="170">
        <v>8.796591868824382</v>
      </c>
      <c r="I38" s="170">
        <v>8.785032230411979</v>
      </c>
      <c r="J38" s="170">
        <v>8.773584872520601</v>
      </c>
      <c r="K38" s="170">
        <v>8.762032503082612</v>
      </c>
      <c r="L38" s="170">
        <v>8.750220087127374</v>
      </c>
      <c r="M38" s="170">
        <v>8.738379942436792</v>
      </c>
      <c r="N38" s="170">
        <v>8.726443428321993</v>
      </c>
      <c r="O38" s="170">
        <v>8.71442213820834</v>
      </c>
      <c r="P38" s="170">
        <v>8.70223268231075</v>
      </c>
      <c r="Q38" s="170">
        <v>8.689778478383358</v>
      </c>
      <c r="R38" s="170">
        <v>8.677078486893867</v>
      </c>
      <c r="S38" s="170">
        <v>8.664341082140407</v>
      </c>
      <c r="T38" s="170">
        <v>8.65147946465841</v>
      </c>
      <c r="U38" s="170">
        <v>8.6383533367765</v>
      </c>
      <c r="V38" s="170">
        <v>8.625200867248402</v>
      </c>
      <c r="W38" s="170">
        <v>8.611999559573064</v>
      </c>
      <c r="X38" s="170">
        <v>8.598667589494184</v>
      </c>
      <c r="Y38" s="170">
        <v>8.585271938682096</v>
      </c>
      <c r="Z38" s="170">
        <v>8.571747194703253</v>
      </c>
      <c r="AA38" s="170">
        <v>8.558282965425427</v>
      </c>
      <c r="AB38" s="170">
        <v>8.544722397683943</v>
      </c>
      <c r="AC38" s="170">
        <v>8.531119637114164</v>
      </c>
      <c r="AD38" s="170">
        <v>8.517491484765957</v>
      </c>
      <c r="AE38" s="170">
        <v>8.503757605966165</v>
      </c>
      <c r="AF38" s="170">
        <v>8.490022795141712</v>
      </c>
      <c r="AG38" s="170">
        <v>8.476312729347669</v>
      </c>
      <c r="AH38" s="170">
        <v>8.462495776359026</v>
      </c>
      <c r="AI38" s="170">
        <v>8.448634307576398</v>
      </c>
      <c r="AJ38" s="170">
        <v>8.434754548987316</v>
      </c>
      <c r="AK38" s="170">
        <v>8.420795113955759</v>
      </c>
      <c r="AL38" s="170">
        <v>8.406885514327012</v>
      </c>
      <c r="AM38" s="170">
        <v>8.392895544613978</v>
      </c>
      <c r="AN38" s="170">
        <v>8.378787513114162</v>
      </c>
      <c r="AO38" s="170">
        <v>8.364730967941195</v>
      </c>
      <c r="AP38" s="170">
        <v>8.350620791603186</v>
      </c>
      <c r="AQ38" s="170">
        <v>8.336438543114651</v>
      </c>
      <c r="AR38" s="170">
        <v>8.32233056722488</v>
      </c>
      <c r="AS38" s="170">
        <v>8.308097664415326</v>
      </c>
      <c r="AT38" s="170">
        <v>8.293843080672033</v>
      </c>
      <c r="AU38" s="170">
        <v>8.279549645734413</v>
      </c>
      <c r="AV38" s="170">
        <v>8.26523604821464</v>
      </c>
      <c r="AW38" s="170">
        <v>8.25089919565536</v>
      </c>
      <c r="AX38" s="170">
        <v>8.236465543429762</v>
      </c>
      <c r="AY38" s="168"/>
      <c r="AZ38" s="168"/>
      <c r="BA38" s="168"/>
      <c r="BB38" s="168"/>
      <c r="BC38" s="168"/>
      <c r="BD38" s="168"/>
      <c r="BE38" s="168"/>
      <c r="BF38" s="168"/>
    </row>
    <row r="39" spans="1:58" ht="15.75">
      <c r="A39" s="167">
        <v>7.4</v>
      </c>
      <c r="B39" s="170">
        <v>8.886740827999894</v>
      </c>
      <c r="C39" s="170">
        <v>8.875375106046715</v>
      </c>
      <c r="D39" s="170">
        <v>8.863757383608073</v>
      </c>
      <c r="E39" s="170">
        <v>8.85172104394791</v>
      </c>
      <c r="F39" s="170">
        <v>8.840194954101522</v>
      </c>
      <c r="G39" s="170">
        <v>8.828794449126077</v>
      </c>
      <c r="H39" s="170">
        <v>8.811852485659282</v>
      </c>
      <c r="I39" s="170">
        <v>8.800834993164761</v>
      </c>
      <c r="J39" s="170">
        <v>8.788878869792601</v>
      </c>
      <c r="K39" s="170">
        <v>8.777533510830285</v>
      </c>
      <c r="L39" s="170">
        <v>8.765793577230372</v>
      </c>
      <c r="M39" s="170">
        <v>8.753928636178273</v>
      </c>
      <c r="N39" s="170">
        <v>8.742019285763275</v>
      </c>
      <c r="O39" s="170">
        <v>8.72959636848605</v>
      </c>
      <c r="P39" s="170">
        <v>8.717248505980619</v>
      </c>
      <c r="Q39" s="170">
        <v>8.705017103305243</v>
      </c>
      <c r="R39" s="170">
        <v>8.692184793715459</v>
      </c>
      <c r="S39" s="170">
        <v>8.679476801012086</v>
      </c>
      <c r="T39" s="170">
        <v>8.666385139214924</v>
      </c>
      <c r="U39" s="170">
        <v>8.65333027569295</v>
      </c>
      <c r="V39" s="170">
        <v>8.640229299996074</v>
      </c>
      <c r="W39" s="170">
        <v>8.626950051032459</v>
      </c>
      <c r="X39" s="170">
        <v>8.613609354894168</v>
      </c>
      <c r="Y39" s="170">
        <v>8.60021298893698</v>
      </c>
      <c r="Z39" s="170">
        <v>8.586740668664072</v>
      </c>
      <c r="AA39" s="170">
        <v>8.57327182501929</v>
      </c>
      <c r="AB39" s="170">
        <v>8.559722420221155</v>
      </c>
      <c r="AC39" s="170">
        <v>8.546142978129573</v>
      </c>
      <c r="AD39" s="170">
        <v>8.532521911418153</v>
      </c>
      <c r="AE39" s="170">
        <v>8.518820511327373</v>
      </c>
      <c r="AF39" s="170">
        <v>8.505150062155273</v>
      </c>
      <c r="AG39" s="170">
        <v>8.491382172298849</v>
      </c>
      <c r="AH39" s="170">
        <v>8.47764729446737</v>
      </c>
      <c r="AI39" s="170">
        <v>8.463806678537551</v>
      </c>
      <c r="AJ39" s="170">
        <v>8.449932200236132</v>
      </c>
      <c r="AK39" s="170">
        <v>8.436088623555614</v>
      </c>
      <c r="AL39" s="170">
        <v>8.422110853852462</v>
      </c>
      <c r="AM39" s="170">
        <v>8.40815845044152</v>
      </c>
      <c r="AN39" s="170">
        <v>8.394115215332567</v>
      </c>
      <c r="AO39" s="170">
        <v>8.380054117867678</v>
      </c>
      <c r="AP39" s="170">
        <v>8.366010140756567</v>
      </c>
      <c r="AQ39" s="170">
        <v>8.351938305941836</v>
      </c>
      <c r="AR39" s="170">
        <v>8.33772253275276</v>
      </c>
      <c r="AS39" s="170">
        <v>8.3235872075462</v>
      </c>
      <c r="AT39" s="170">
        <v>8.309415504044441</v>
      </c>
      <c r="AU39" s="170">
        <v>8.295186055922983</v>
      </c>
      <c r="AV39" s="170">
        <v>8.280871386983724</v>
      </c>
      <c r="AW39" s="170">
        <v>8.266516287749038</v>
      </c>
      <c r="AX39" s="170">
        <v>8.252209803103913</v>
      </c>
      <c r="AY39" s="168"/>
      <c r="AZ39" s="168"/>
      <c r="BA39" s="168"/>
      <c r="BB39" s="168"/>
      <c r="BC39" s="168"/>
      <c r="BD39" s="168"/>
      <c r="BE39" s="168"/>
      <c r="BF39" s="168"/>
    </row>
    <row r="40" spans="1:58" ht="15.75">
      <c r="A40" s="167">
        <v>7.6000000000000005</v>
      </c>
      <c r="B40" s="170">
        <v>8.836096206901484</v>
      </c>
      <c r="C40" s="170">
        <v>8.889957827184707</v>
      </c>
      <c r="D40" s="170">
        <v>8.878299618872862</v>
      </c>
      <c r="E40" s="170">
        <v>8.866435409766078</v>
      </c>
      <c r="F40" s="170">
        <v>8.854970225160457</v>
      </c>
      <c r="G40" s="170">
        <v>8.843706319211103</v>
      </c>
      <c r="H40" s="170">
        <v>8.827167565884432</v>
      </c>
      <c r="I40" s="170">
        <v>8.816173764888093</v>
      </c>
      <c r="J40" s="170">
        <v>8.804293829073947</v>
      </c>
      <c r="K40" s="170">
        <v>8.792615339481955</v>
      </c>
      <c r="L40" s="170">
        <v>8.78091118063464</v>
      </c>
      <c r="M40" s="170">
        <v>8.768920172632098</v>
      </c>
      <c r="N40" s="170">
        <v>8.75742386342762</v>
      </c>
      <c r="O40" s="170">
        <v>8.744928123532588</v>
      </c>
      <c r="P40" s="170">
        <v>8.732664591369446</v>
      </c>
      <c r="Q40" s="170">
        <v>8.72004381184435</v>
      </c>
      <c r="R40" s="170">
        <v>8.707343048006573</v>
      </c>
      <c r="S40" s="170">
        <v>8.69436164066466</v>
      </c>
      <c r="T40" s="170">
        <v>8.681345038440046</v>
      </c>
      <c r="U40" s="170">
        <v>8.668245429976439</v>
      </c>
      <c r="V40" s="170">
        <v>8.65505873119508</v>
      </c>
      <c r="W40" s="170">
        <v>8.641794466877478</v>
      </c>
      <c r="X40" s="170">
        <v>8.62846515163927</v>
      </c>
      <c r="Y40" s="170">
        <v>8.615077195784902</v>
      </c>
      <c r="Z40" s="170">
        <v>8.601640306004656</v>
      </c>
      <c r="AA40" s="170">
        <v>8.588117038041796</v>
      </c>
      <c r="AB40" s="170">
        <v>8.57461138046985</v>
      </c>
      <c r="AC40" s="170">
        <v>8.56106363232159</v>
      </c>
      <c r="AD40" s="170">
        <v>8.547459384370587</v>
      </c>
      <c r="AE40" s="170">
        <v>8.533792147251887</v>
      </c>
      <c r="AF40" s="170">
        <v>8.520087422317875</v>
      </c>
      <c r="AG40" s="170">
        <v>8.506408083505114</v>
      </c>
      <c r="AH40" s="170">
        <v>8.492627391245</v>
      </c>
      <c r="AI40" s="170">
        <v>8.478882928094876</v>
      </c>
      <c r="AJ40" s="170">
        <v>8.465027595967305</v>
      </c>
      <c r="AK40" s="170">
        <v>8.45118288982865</v>
      </c>
      <c r="AL40" s="170">
        <v>8.437267164740305</v>
      </c>
      <c r="AM40" s="170">
        <v>8.423308930510919</v>
      </c>
      <c r="AN40" s="170">
        <v>8.409289893911579</v>
      </c>
      <c r="AO40" s="170">
        <v>8.39533144660662</v>
      </c>
      <c r="AP40" s="170">
        <v>8.381258761655559</v>
      </c>
      <c r="AQ40" s="170">
        <v>8.367206240341911</v>
      </c>
      <c r="AR40" s="170">
        <v>8.35313521611332</v>
      </c>
      <c r="AS40" s="170">
        <v>8.338970816242082</v>
      </c>
      <c r="AT40" s="170">
        <v>8.32479648673194</v>
      </c>
      <c r="AU40" s="170">
        <v>8.310606958542818</v>
      </c>
      <c r="AV40" s="170">
        <v>8.296416268800165</v>
      </c>
      <c r="AW40" s="170">
        <v>8.282130783083874</v>
      </c>
      <c r="AX40" s="170">
        <v>8.267836281877218</v>
      </c>
      <c r="AY40" s="168"/>
      <c r="AZ40" s="168"/>
      <c r="BA40" s="168"/>
      <c r="BB40" s="168"/>
      <c r="BC40" s="168"/>
      <c r="BD40" s="168"/>
      <c r="BE40" s="168"/>
      <c r="BF40" s="168"/>
    </row>
    <row r="41" spans="1:58" ht="15.75">
      <c r="A41" s="167">
        <v>7.800000000000001</v>
      </c>
      <c r="B41" s="170">
        <v>8.749614918227705</v>
      </c>
      <c r="C41" s="170">
        <v>8.904350373631198</v>
      </c>
      <c r="D41" s="170">
        <v>8.892854450410393</v>
      </c>
      <c r="E41" s="170">
        <v>8.881162339067453</v>
      </c>
      <c r="F41" s="170">
        <v>8.86979292182964</v>
      </c>
      <c r="G41" s="170">
        <v>8.859140013418811</v>
      </c>
      <c r="H41" s="170">
        <v>8.842781529714228</v>
      </c>
      <c r="I41" s="170">
        <v>8.83123130471137</v>
      </c>
      <c r="J41" s="170">
        <v>8.820233039688807</v>
      </c>
      <c r="K41" s="170">
        <v>8.808415295440055</v>
      </c>
      <c r="L41" s="170">
        <v>8.796334750034585</v>
      </c>
      <c r="M41" s="170">
        <v>8.784263926186284</v>
      </c>
      <c r="N41" s="170">
        <v>8.772244860543823</v>
      </c>
      <c r="O41" s="170">
        <v>8.760052137961804</v>
      </c>
      <c r="P41" s="170">
        <v>8.747716250819337</v>
      </c>
      <c r="Q41" s="170">
        <v>8.734935122444076</v>
      </c>
      <c r="R41" s="170">
        <v>8.722175108526926</v>
      </c>
      <c r="S41" s="170">
        <v>8.709239362780316</v>
      </c>
      <c r="T41" s="170">
        <v>8.696139736108119</v>
      </c>
      <c r="U41" s="170">
        <v>8.68298765376533</v>
      </c>
      <c r="V41" s="170">
        <v>8.66984716676491</v>
      </c>
      <c r="W41" s="170">
        <v>8.6565386998188</v>
      </c>
      <c r="X41" s="170">
        <v>8.643246159037973</v>
      </c>
      <c r="Y41" s="170">
        <v>8.629872606456276</v>
      </c>
      <c r="Z41" s="170">
        <v>8.616456274785074</v>
      </c>
      <c r="AA41" s="170">
        <v>8.602932987921882</v>
      </c>
      <c r="AB41" s="170">
        <v>8.58941797364476</v>
      </c>
      <c r="AC41" s="170">
        <v>8.575867196619143</v>
      </c>
      <c r="AD41" s="170">
        <v>8.562263846083667</v>
      </c>
      <c r="AE41" s="170">
        <v>8.548687380194329</v>
      </c>
      <c r="AF41" s="170">
        <v>8.534993628931083</v>
      </c>
      <c r="AG41" s="170">
        <v>8.521323318704868</v>
      </c>
      <c r="AH41" s="170">
        <v>8.507592417924515</v>
      </c>
      <c r="AI41" s="170">
        <v>8.4938230473619</v>
      </c>
      <c r="AJ41" s="170">
        <v>8.480047037040023</v>
      </c>
      <c r="AK41" s="170">
        <v>8.466156876514665</v>
      </c>
      <c r="AL41" s="170">
        <v>8.452323075196611</v>
      </c>
      <c r="AM41" s="170">
        <v>8.438353564892001</v>
      </c>
      <c r="AN41" s="170">
        <v>8.424443541756151</v>
      </c>
      <c r="AO41" s="170">
        <v>8.410495562594878</v>
      </c>
      <c r="AP41" s="170">
        <v>8.39642623599767</v>
      </c>
      <c r="AQ41" s="170">
        <v>8.382472505428407</v>
      </c>
      <c r="AR41" s="170">
        <v>8.368379164817537</v>
      </c>
      <c r="AS41" s="170">
        <v>8.35428929287182</v>
      </c>
      <c r="AT41" s="170">
        <v>8.340122177760481</v>
      </c>
      <c r="AU41" s="170">
        <v>8.325997935075963</v>
      </c>
      <c r="AV41" s="170">
        <v>8.311785543567156</v>
      </c>
      <c r="AW41" s="170">
        <v>8.297569790164236</v>
      </c>
      <c r="AX41" s="170">
        <v>8.283303894562106</v>
      </c>
      <c r="AY41" s="168"/>
      <c r="AZ41" s="168"/>
      <c r="BA41" s="168"/>
      <c r="BB41" s="168"/>
      <c r="BC41" s="168"/>
      <c r="BD41" s="168"/>
      <c r="BE41" s="168"/>
      <c r="BF41" s="168"/>
    </row>
    <row r="42" spans="1:58" ht="15.75">
      <c r="A42" s="167">
        <v>8</v>
      </c>
      <c r="B42" s="170">
        <v>9.074982826616656</v>
      </c>
      <c r="C42" s="170">
        <v>8.918985624829226</v>
      </c>
      <c r="D42" s="170">
        <v>8.907703416570765</v>
      </c>
      <c r="E42" s="170">
        <v>8.896270482163137</v>
      </c>
      <c r="F42" s="170">
        <v>8.88514777487408</v>
      </c>
      <c r="G42" s="170">
        <v>8.873986960408422</v>
      </c>
      <c r="H42" s="170">
        <v>8.857994101700054</v>
      </c>
      <c r="I42" s="170">
        <v>8.846671031789496</v>
      </c>
      <c r="J42" s="170">
        <v>8.835650975273278</v>
      </c>
      <c r="K42" s="170">
        <v>8.823556583628411</v>
      </c>
      <c r="L42" s="170">
        <v>8.811614245018456</v>
      </c>
      <c r="M42" s="170">
        <v>8.799541416453419</v>
      </c>
      <c r="N42" s="170">
        <v>8.787228135476449</v>
      </c>
      <c r="O42" s="170">
        <v>8.775215727636969</v>
      </c>
      <c r="P42" s="170">
        <v>8.762660886238981</v>
      </c>
      <c r="Q42" s="170">
        <v>8.749819607952205</v>
      </c>
      <c r="R42" s="170">
        <v>8.736956054478545</v>
      </c>
      <c r="S42" s="170">
        <v>8.723983909188627</v>
      </c>
      <c r="T42" s="170">
        <v>8.710819769514762</v>
      </c>
      <c r="U42" s="170">
        <v>8.69767483263798</v>
      </c>
      <c r="V42" s="170">
        <v>8.684484402468774</v>
      </c>
      <c r="W42" s="170">
        <v>8.671214063321134</v>
      </c>
      <c r="X42" s="170">
        <v>8.657936689966832</v>
      </c>
      <c r="Y42" s="170">
        <v>8.644544122901955</v>
      </c>
      <c r="Z42" s="170">
        <v>8.631146371053704</v>
      </c>
      <c r="AA42" s="170">
        <v>8.617678002600677</v>
      </c>
      <c r="AB42" s="170">
        <v>8.604162357497438</v>
      </c>
      <c r="AC42" s="170">
        <v>8.590597085948895</v>
      </c>
      <c r="AD42" s="170">
        <v>8.577024341695152</v>
      </c>
      <c r="AE42" s="170">
        <v>8.563448190953125</v>
      </c>
      <c r="AF42" s="170">
        <v>8.549832902863185</v>
      </c>
      <c r="AG42" s="170">
        <v>8.536114263649756</v>
      </c>
      <c r="AH42" s="170">
        <v>8.522408705302448</v>
      </c>
      <c r="AI42" s="170">
        <v>8.508698548950372</v>
      </c>
      <c r="AJ42" s="170">
        <v>8.494904886706955</v>
      </c>
      <c r="AK42" s="170">
        <v>8.481098429531952</v>
      </c>
      <c r="AL42" s="170">
        <v>8.467254001623257</v>
      </c>
      <c r="AM42" s="170">
        <v>8.453372633348803</v>
      </c>
      <c r="AN42" s="170">
        <v>8.439426928079854</v>
      </c>
      <c r="AO42" s="170">
        <v>8.425487234772866</v>
      </c>
      <c r="AP42" s="170">
        <v>8.41150724064066</v>
      </c>
      <c r="AQ42" s="170">
        <v>8.39755296224976</v>
      </c>
      <c r="AR42" s="170">
        <v>8.383491107179891</v>
      </c>
      <c r="AS42" s="170">
        <v>8.369403287461735</v>
      </c>
      <c r="AT42" s="170">
        <v>8.355286072863132</v>
      </c>
      <c r="AU42" s="170">
        <v>8.341183476199602</v>
      </c>
      <c r="AV42" s="170">
        <v>8.327030406770428</v>
      </c>
      <c r="AW42" s="170">
        <v>8.312844980142518</v>
      </c>
      <c r="AX42" s="170">
        <v>7.656801843074061</v>
      </c>
      <c r="AY42" s="168"/>
      <c r="AZ42" s="168"/>
      <c r="BA42" s="168"/>
      <c r="BB42" s="168"/>
      <c r="BC42" s="168"/>
      <c r="BD42" s="168"/>
      <c r="BE42" s="168"/>
      <c r="BF42" s="168"/>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BF42"/>
  <sheetViews>
    <sheetView zoomScale="75" zoomScaleNormal="75" zoomScalePageLayoutView="0" workbookViewId="0" topLeftCell="A1">
      <selection activeCell="B2" sqref="B2:AX42"/>
    </sheetView>
  </sheetViews>
  <sheetFormatPr defaultColWidth="8.796875" defaultRowHeight="15"/>
  <cols>
    <col min="2" max="16384" width="9" style="170" customWidth="1"/>
  </cols>
  <sheetData>
    <row r="1" spans="2:58" ht="15.75">
      <c r="B1">
        <v>200</v>
      </c>
      <c r="C1">
        <v>225</v>
      </c>
      <c r="D1">
        <v>250</v>
      </c>
      <c r="E1">
        <v>275</v>
      </c>
      <c r="F1">
        <v>300</v>
      </c>
      <c r="G1">
        <v>325</v>
      </c>
      <c r="H1">
        <v>350</v>
      </c>
      <c r="I1">
        <v>375</v>
      </c>
      <c r="J1">
        <v>400</v>
      </c>
      <c r="K1">
        <v>425</v>
      </c>
      <c r="L1">
        <v>450</v>
      </c>
      <c r="M1">
        <v>475</v>
      </c>
      <c r="N1">
        <v>500</v>
      </c>
      <c r="O1">
        <v>525</v>
      </c>
      <c r="P1">
        <v>550</v>
      </c>
      <c r="Q1">
        <v>575</v>
      </c>
      <c r="R1">
        <v>600</v>
      </c>
      <c r="S1">
        <v>625</v>
      </c>
      <c r="T1">
        <v>650</v>
      </c>
      <c r="U1">
        <v>675</v>
      </c>
      <c r="V1">
        <v>700</v>
      </c>
      <c r="W1">
        <v>725</v>
      </c>
      <c r="X1">
        <v>750</v>
      </c>
      <c r="Y1">
        <v>775</v>
      </c>
      <c r="Z1">
        <v>800</v>
      </c>
      <c r="AA1">
        <v>825</v>
      </c>
      <c r="AB1">
        <v>850</v>
      </c>
      <c r="AC1">
        <v>875</v>
      </c>
      <c r="AD1">
        <v>900</v>
      </c>
      <c r="AE1">
        <v>925</v>
      </c>
      <c r="AF1">
        <v>950</v>
      </c>
      <c r="AG1">
        <v>975</v>
      </c>
      <c r="AH1">
        <v>1000</v>
      </c>
      <c r="AI1">
        <v>1025</v>
      </c>
      <c r="AJ1">
        <v>1050</v>
      </c>
      <c r="AK1">
        <v>1075</v>
      </c>
      <c r="AL1">
        <v>1100</v>
      </c>
      <c r="AM1">
        <v>1125</v>
      </c>
      <c r="AN1">
        <v>1150</v>
      </c>
      <c r="AO1">
        <v>1175</v>
      </c>
      <c r="AP1">
        <v>1200</v>
      </c>
      <c r="AQ1">
        <v>1225</v>
      </c>
      <c r="AR1">
        <v>1250</v>
      </c>
      <c r="AS1">
        <v>1275</v>
      </c>
      <c r="AT1">
        <v>1300</v>
      </c>
      <c r="AU1">
        <v>1325</v>
      </c>
      <c r="AV1">
        <v>1350</v>
      </c>
      <c r="AW1">
        <v>1375</v>
      </c>
      <c r="AX1">
        <v>1400</v>
      </c>
      <c r="AY1">
        <v>1425</v>
      </c>
      <c r="AZ1">
        <v>1450</v>
      </c>
      <c r="BA1">
        <v>1475</v>
      </c>
      <c r="BB1">
        <v>1500</v>
      </c>
      <c r="BC1">
        <v>1525</v>
      </c>
      <c r="BD1">
        <v>1550</v>
      </c>
      <c r="BE1">
        <v>1575</v>
      </c>
      <c r="BF1">
        <v>1600</v>
      </c>
    </row>
    <row r="2" spans="1:58" ht="15.75">
      <c r="A2" s="167">
        <v>0</v>
      </c>
      <c r="B2" s="170">
        <v>3.983413080805972</v>
      </c>
      <c r="F2" s="170">
        <v>4.105567063060984</v>
      </c>
      <c r="J2" s="170">
        <v>4.094681189954936</v>
      </c>
      <c r="N2" s="170">
        <v>4.099694622834601</v>
      </c>
      <c r="P2" s="170">
        <v>4.057082901656556</v>
      </c>
      <c r="R2" s="170">
        <v>4.050790622306464</v>
      </c>
      <c r="V2" s="170">
        <v>4.09154469707961</v>
      </c>
      <c r="Z2" s="170">
        <v>4.132672717471509</v>
      </c>
      <c r="AD2" s="170">
        <v>4.174207405189155</v>
      </c>
      <c r="AH2" s="170">
        <v>4.216156697764569</v>
      </c>
      <c r="AL2" s="170">
        <v>4.2585260592480525</v>
      </c>
      <c r="AP2" s="170">
        <v>4.359612164220013</v>
      </c>
      <c r="AY2" s="171"/>
      <c r="AZ2" s="171"/>
      <c r="BA2" s="171"/>
      <c r="BB2" s="171"/>
      <c r="BC2" s="171"/>
      <c r="BD2" s="171"/>
      <c r="BE2" s="171"/>
      <c r="BF2" s="171"/>
    </row>
    <row r="3" spans="1:58" ht="15.75">
      <c r="A3" s="167">
        <v>0.2</v>
      </c>
      <c r="B3" s="170">
        <v>3.6599196159318317</v>
      </c>
      <c r="C3" s="170">
        <v>4.717694364213283</v>
      </c>
      <c r="D3" s="170">
        <v>4.710141095794931</v>
      </c>
      <c r="E3" s="170">
        <v>4.704773122015469</v>
      </c>
      <c r="F3" s="170">
        <v>4.696773431528709</v>
      </c>
      <c r="G3" s="170">
        <v>4.691540852687425</v>
      </c>
      <c r="H3" s="170">
        <v>4.682881201756367</v>
      </c>
      <c r="I3" s="170">
        <v>4.667456317404278</v>
      </c>
      <c r="J3" s="170">
        <v>4.65553873595905</v>
      </c>
      <c r="K3" s="170">
        <v>4.643688713714682</v>
      </c>
      <c r="L3" s="170">
        <v>4.61091502298373</v>
      </c>
      <c r="M3" s="170">
        <v>4.576640049433712</v>
      </c>
      <c r="N3" s="170">
        <v>3.4895773065336186</v>
      </c>
      <c r="O3" s="170">
        <v>4.564324750279031</v>
      </c>
      <c r="P3" s="170">
        <v>4.506774693766138</v>
      </c>
      <c r="Q3" s="170">
        <v>4.4945498630956715</v>
      </c>
      <c r="R3" s="170">
        <v>4.495526224959282</v>
      </c>
      <c r="S3" s="170">
        <v>4.461783077554058</v>
      </c>
      <c r="T3" s="170">
        <v>4.451953142623298</v>
      </c>
      <c r="U3" s="170">
        <v>4.442294627750662</v>
      </c>
      <c r="V3" s="170">
        <v>4.432652551377976</v>
      </c>
      <c r="W3" s="170">
        <v>4.4230714259975885</v>
      </c>
      <c r="X3" s="170">
        <v>4.413995269124296</v>
      </c>
      <c r="Y3" s="170">
        <v>4.419749692844975</v>
      </c>
      <c r="Z3" s="170">
        <v>4.397298816719192</v>
      </c>
      <c r="AA3" s="170">
        <v>4.38880507656305</v>
      </c>
      <c r="AB3" s="170">
        <v>4.377390395884948</v>
      </c>
      <c r="AC3" s="170">
        <v>4.370774099246988</v>
      </c>
      <c r="AD3" s="170">
        <v>4.364356443727399</v>
      </c>
      <c r="AE3" s="170">
        <v>4.354071385879621</v>
      </c>
      <c r="AF3" s="170">
        <v>4.346260556446939</v>
      </c>
      <c r="AG3" s="170">
        <v>4.331577925163121</v>
      </c>
      <c r="AH3" s="170">
        <v>4.326054010307517</v>
      </c>
      <c r="AI3" s="170">
        <v>4.311658719024461</v>
      </c>
      <c r="AJ3" s="170">
        <v>4.302348558458054</v>
      </c>
      <c r="AK3" s="170">
        <v>4.29294790422803</v>
      </c>
      <c r="AL3" s="170">
        <v>4.283885559882385</v>
      </c>
      <c r="AM3" s="170">
        <v>4.274698896027314</v>
      </c>
      <c r="AN3" s="170">
        <v>4.265272485748449</v>
      </c>
      <c r="AO3" s="170">
        <v>4.255857466806244</v>
      </c>
      <c r="AP3" s="170">
        <v>4.250323433779563</v>
      </c>
      <c r="AQ3" s="170">
        <v>4.23742208534524</v>
      </c>
      <c r="AR3" s="170">
        <v>4.227874878311396</v>
      </c>
      <c r="AS3" s="170">
        <v>4.2184604150609575</v>
      </c>
      <c r="AT3" s="170">
        <v>4.212166272684869</v>
      </c>
      <c r="AU3" s="170">
        <v>4.199736335591457</v>
      </c>
      <c r="AV3" s="170">
        <v>4.190240834274414</v>
      </c>
      <c r="AW3" s="170">
        <v>4.1810210769210405</v>
      </c>
      <c r="AX3" s="170">
        <v>4.171175705208036</v>
      </c>
      <c r="AY3" s="171"/>
      <c r="AZ3" s="171"/>
      <c r="BA3" s="171"/>
      <c r="BB3" s="171"/>
      <c r="BC3" s="171"/>
      <c r="BD3" s="171"/>
      <c r="BE3" s="171"/>
      <c r="BF3" s="171"/>
    </row>
    <row r="4" spans="1:58" ht="15.75">
      <c r="A4" s="167">
        <v>0.4</v>
      </c>
      <c r="B4" s="170">
        <v>4.755284852628135</v>
      </c>
      <c r="C4" s="170">
        <v>4.748855682927265</v>
      </c>
      <c r="D4" s="170">
        <v>4.7417754932107075</v>
      </c>
      <c r="E4" s="170">
        <v>4.721369607082777</v>
      </c>
      <c r="F4" s="170">
        <v>4.715223527929385</v>
      </c>
      <c r="G4" s="170">
        <v>4.708145165741777</v>
      </c>
      <c r="H4" s="170">
        <v>4.702418926065337</v>
      </c>
      <c r="I4" s="170">
        <v>4.695132772626259</v>
      </c>
      <c r="J4" s="170">
        <v>4.683689322449879</v>
      </c>
      <c r="K4" s="170">
        <v>4.669090278498765</v>
      </c>
      <c r="L4" s="170">
        <v>4.656024733211495</v>
      </c>
      <c r="M4" s="170">
        <v>4.649663107088201</v>
      </c>
      <c r="N4" s="170">
        <v>4.6389355484340085</v>
      </c>
      <c r="O4" s="170">
        <v>4.582624597174911</v>
      </c>
      <c r="P4" s="170">
        <v>3.8703420675398674</v>
      </c>
      <c r="Q4" s="170">
        <v>4.5635166519378005</v>
      </c>
      <c r="R4" s="170">
        <v>4.55806308314023</v>
      </c>
      <c r="S4" s="170">
        <v>4.563923866309107</v>
      </c>
      <c r="T4" s="170">
        <v>4.546576005786622</v>
      </c>
      <c r="U4" s="170">
        <v>4.5254230350219915</v>
      </c>
      <c r="V4" s="170">
        <v>4.504185712379717</v>
      </c>
      <c r="W4" s="170">
        <v>4.48562059717823</v>
      </c>
      <c r="X4" s="170">
        <v>4.4714493663163095</v>
      </c>
      <c r="Y4" s="170">
        <v>4.478354779947473</v>
      </c>
      <c r="Z4" s="170">
        <v>4.448861896665442</v>
      </c>
      <c r="AA4" s="170">
        <v>4.4502894243119435</v>
      </c>
      <c r="AB4" s="170">
        <v>4.420652766712604</v>
      </c>
      <c r="AC4" s="170">
        <v>4.409702798722132</v>
      </c>
      <c r="AD4" s="170">
        <v>4.409910037097944</v>
      </c>
      <c r="AE4" s="170">
        <v>4.391211090056382</v>
      </c>
      <c r="AF4" s="170">
        <v>4.390425616362607</v>
      </c>
      <c r="AG4" s="170">
        <v>4.367326380735547</v>
      </c>
      <c r="AH4" s="170">
        <v>4.456865111980271</v>
      </c>
      <c r="AI4" s="170">
        <v>4.34631348406445</v>
      </c>
      <c r="AJ4" s="170">
        <v>4.336154714905255</v>
      </c>
      <c r="AK4" s="170">
        <v>4.327317166915115</v>
      </c>
      <c r="AL4" s="170">
        <v>4.318393737731046</v>
      </c>
      <c r="AM4" s="170">
        <v>4.308548004850088</v>
      </c>
      <c r="AN4" s="170">
        <v>4.298711018721379</v>
      </c>
      <c r="AO4" s="170">
        <v>4.289014960057055</v>
      </c>
      <c r="AP4" s="170">
        <v>4.280750491079483</v>
      </c>
      <c r="AQ4" s="170">
        <v>4.269778801900768</v>
      </c>
      <c r="AR4" s="170">
        <v>4.259995224277883</v>
      </c>
      <c r="AS4" s="170">
        <v>4.249906808202972</v>
      </c>
      <c r="AT4" s="170">
        <v>4.2405881598851245</v>
      </c>
      <c r="AU4" s="170">
        <v>4.230637680471199</v>
      </c>
      <c r="AV4" s="170">
        <v>4.2209177170175085</v>
      </c>
      <c r="AW4" s="170">
        <v>4.211227981333306</v>
      </c>
      <c r="AX4" s="170">
        <v>4.201397554653599</v>
      </c>
      <c r="AY4" s="171"/>
      <c r="AZ4" s="171"/>
      <c r="BA4" s="171"/>
      <c r="BB4" s="171"/>
      <c r="BC4" s="171"/>
      <c r="BD4" s="171"/>
      <c r="BE4" s="171"/>
      <c r="BF4" s="171"/>
    </row>
    <row r="5" spans="1:58" ht="15.75">
      <c r="A5" s="167">
        <v>0.6000000000000001</v>
      </c>
      <c r="B5" s="170">
        <v>4.135663919110164</v>
      </c>
      <c r="C5" s="170">
        <v>4.786304750852522</v>
      </c>
      <c r="D5" s="170">
        <v>4.778038306986578</v>
      </c>
      <c r="E5" s="170">
        <v>4.743210410682099</v>
      </c>
      <c r="F5" s="170">
        <v>3.6278255093262097</v>
      </c>
      <c r="G5" s="170">
        <v>4.72430040466792</v>
      </c>
      <c r="H5" s="170">
        <v>3.7343843163019526</v>
      </c>
      <c r="I5" s="170">
        <v>4.709309928714681</v>
      </c>
      <c r="J5" s="170">
        <v>4.701407510793308</v>
      </c>
      <c r="K5" s="170">
        <v>4.693495584937654</v>
      </c>
      <c r="L5" s="170">
        <v>4.676152291910599</v>
      </c>
      <c r="M5" s="170">
        <v>4.670518011448494</v>
      </c>
      <c r="N5" s="170">
        <v>4.653505094227338</v>
      </c>
      <c r="O5" s="170">
        <v>4.6484796429571995</v>
      </c>
      <c r="P5" s="170">
        <v>3.5438748593719636</v>
      </c>
      <c r="Q5" s="170">
        <v>4.626875805195934</v>
      </c>
      <c r="R5" s="170">
        <v>4.6200386089448</v>
      </c>
      <c r="S5" s="170">
        <v>4.610964635842847</v>
      </c>
      <c r="T5" s="170">
        <v>4.5993965841674775</v>
      </c>
      <c r="U5" s="170">
        <v>4.584705968709934</v>
      </c>
      <c r="V5" s="170">
        <v>3.658175475485091</v>
      </c>
      <c r="W5" s="170">
        <v>4.5590973737256295</v>
      </c>
      <c r="X5" s="170">
        <v>3.441679320814699</v>
      </c>
      <c r="Y5" s="170">
        <v>4.512053141454224</v>
      </c>
      <c r="Z5" s="170">
        <v>4.51846901232765</v>
      </c>
      <c r="AA5" s="170">
        <v>4.503930754895139</v>
      </c>
      <c r="AB5" s="170">
        <v>4.491100961718477</v>
      </c>
      <c r="AC5" s="170">
        <v>4.476794672349098</v>
      </c>
      <c r="AD5" s="170">
        <v>4.461001769382307</v>
      </c>
      <c r="AE5" s="170">
        <v>4.44376718951386</v>
      </c>
      <c r="AF5" s="170">
        <v>4.43063607169024</v>
      </c>
      <c r="AG5" s="170">
        <v>4.423152769717968</v>
      </c>
      <c r="AH5" s="170">
        <v>4.44432076061526</v>
      </c>
      <c r="AI5" s="170">
        <v>4.398887277349671</v>
      </c>
      <c r="AJ5" s="170">
        <v>4.387203571387037</v>
      </c>
      <c r="AK5" s="170">
        <v>4.3756774300581345</v>
      </c>
      <c r="AL5" s="170">
        <v>4.364432531341954</v>
      </c>
      <c r="AM5" s="170">
        <v>4.353249005900382</v>
      </c>
      <c r="AN5" s="170">
        <v>4.3418584410156065</v>
      </c>
      <c r="AO5" s="170">
        <v>4.33117387723361</v>
      </c>
      <c r="AP5" s="170">
        <v>4.319583950558681</v>
      </c>
      <c r="AQ5" s="170">
        <v>4.309428569616104</v>
      </c>
      <c r="AR5" s="170">
        <v>4.2987501126502465</v>
      </c>
      <c r="AS5" s="170">
        <v>4.287863678397928</v>
      </c>
      <c r="AT5" s="170">
        <v>4.27787710949418</v>
      </c>
      <c r="AU5" s="170">
        <v>4.266863821058193</v>
      </c>
      <c r="AV5" s="170">
        <v>4.256249017942688</v>
      </c>
      <c r="AW5" s="170">
        <v>4.245741903460816</v>
      </c>
      <c r="AX5" s="170">
        <v>4.235346137145946</v>
      </c>
      <c r="AY5" s="171"/>
      <c r="AZ5" s="171"/>
      <c r="BA5" s="171"/>
      <c r="BB5" s="171"/>
      <c r="BC5" s="171"/>
      <c r="BD5" s="171"/>
      <c r="BE5" s="171"/>
      <c r="BF5" s="171"/>
    </row>
    <row r="6" spans="1:58" ht="15.75">
      <c r="A6" s="167">
        <v>0.8</v>
      </c>
      <c r="B6" s="170">
        <v>4.766820626905101</v>
      </c>
      <c r="C6" s="170">
        <v>4.760536186187827</v>
      </c>
      <c r="D6" s="170">
        <v>4.754059597034636</v>
      </c>
      <c r="E6" s="170">
        <v>4.749379343645961</v>
      </c>
      <c r="F6" s="170">
        <v>4.742741839748913</v>
      </c>
      <c r="G6" s="170">
        <v>4.730830426223288</v>
      </c>
      <c r="H6" s="170">
        <v>4.723432901439422</v>
      </c>
      <c r="I6" s="170">
        <v>4.716027935737038</v>
      </c>
      <c r="J6" s="170">
        <v>4.70810579246543</v>
      </c>
      <c r="K6" s="170">
        <v>4.700126085702424</v>
      </c>
      <c r="L6" s="170">
        <v>4.692807564466867</v>
      </c>
      <c r="M6" s="170">
        <v>4.684462767893189</v>
      </c>
      <c r="N6" s="170">
        <v>4.672184002826396</v>
      </c>
      <c r="O6" s="170">
        <v>4.664172962560943</v>
      </c>
      <c r="P6" s="170">
        <v>4.656996501833956</v>
      </c>
      <c r="Q6" s="170">
        <v>4.648759566021047</v>
      </c>
      <c r="R6" s="170">
        <v>4.6324705422345325</v>
      </c>
      <c r="S6" s="170">
        <v>4.631395226698432</v>
      </c>
      <c r="T6" s="170">
        <v>4.621034781599897</v>
      </c>
      <c r="U6" s="170">
        <v>4.61121306247237</v>
      </c>
      <c r="V6" s="170">
        <v>4.601259767854852</v>
      </c>
      <c r="W6" s="170">
        <v>4.591224683559774</v>
      </c>
      <c r="X6" s="170">
        <v>4.580665314853087</v>
      </c>
      <c r="Y6" s="170">
        <v>4.5554938986251</v>
      </c>
      <c r="Z6" s="170">
        <v>3.691211471844791</v>
      </c>
      <c r="AA6" s="170">
        <v>4.535209328126351</v>
      </c>
      <c r="AB6" s="170">
        <v>4.529536666584475</v>
      </c>
      <c r="AC6" s="170">
        <v>4.517182607597652</v>
      </c>
      <c r="AD6" s="170">
        <v>4.504585157238953</v>
      </c>
      <c r="AE6" s="170">
        <v>4.492122196031538</v>
      </c>
      <c r="AF6" s="170">
        <v>4.479645678718776</v>
      </c>
      <c r="AG6" s="170">
        <v>4.460664702631464</v>
      </c>
      <c r="AH6" s="170">
        <v>3.644615772501222</v>
      </c>
      <c r="AI6" s="170">
        <v>4.4450965096713535</v>
      </c>
      <c r="AJ6" s="170">
        <v>4.429773868868163</v>
      </c>
      <c r="AK6" s="170">
        <v>4.416980485799144</v>
      </c>
      <c r="AL6" s="170">
        <v>4.403079561602587</v>
      </c>
      <c r="AM6" s="170">
        <v>4.390611336492965</v>
      </c>
      <c r="AN6" s="170">
        <v>4.378175713451612</v>
      </c>
      <c r="AO6" s="170">
        <v>4.365555265414589</v>
      </c>
      <c r="AP6" s="170">
        <v>4.354623947981842</v>
      </c>
      <c r="AQ6" s="170">
        <v>4.346159407272276</v>
      </c>
      <c r="AR6" s="170">
        <v>4.334529509382926</v>
      </c>
      <c r="AS6" s="170">
        <v>4.323148985527384</v>
      </c>
      <c r="AT6" s="170">
        <v>4.308076192041499</v>
      </c>
      <c r="AU6" s="170">
        <v>4.298011366438524</v>
      </c>
      <c r="AV6" s="170">
        <v>4.289226213153321</v>
      </c>
      <c r="AW6" s="170">
        <v>4.278136855490325</v>
      </c>
      <c r="AX6" s="170">
        <v>4.2671236700236195</v>
      </c>
      <c r="AY6" s="171"/>
      <c r="AZ6" s="171"/>
      <c r="BA6" s="171"/>
      <c r="BB6" s="171"/>
      <c r="BC6" s="171"/>
      <c r="BD6" s="171"/>
      <c r="BE6" s="171"/>
      <c r="BF6" s="171"/>
    </row>
    <row r="7" spans="1:58" ht="15.75">
      <c r="A7" s="167">
        <v>1</v>
      </c>
      <c r="B7" s="170">
        <v>4.688736608175689</v>
      </c>
      <c r="C7" s="170">
        <v>4.766948844841535</v>
      </c>
      <c r="D7" s="170">
        <v>4.7604192650828665</v>
      </c>
      <c r="E7" s="170">
        <v>4.755818458907855</v>
      </c>
      <c r="F7" s="170">
        <v>4.74919656268768</v>
      </c>
      <c r="G7" s="170">
        <v>4.768611626352128</v>
      </c>
      <c r="H7" s="170">
        <v>4.729872645180521</v>
      </c>
      <c r="I7" s="170">
        <v>4.751057561940933</v>
      </c>
      <c r="J7" s="170">
        <v>4.714635106928343</v>
      </c>
      <c r="K7" s="170">
        <v>4.733127984765649</v>
      </c>
      <c r="L7" s="170">
        <v>3.7388936071051444</v>
      </c>
      <c r="M7" s="170">
        <v>4.714874410044996</v>
      </c>
      <c r="N7" s="170">
        <v>4.682688771635252</v>
      </c>
      <c r="O7" s="170">
        <v>4.674052561142566</v>
      </c>
      <c r="P7" s="170">
        <v>4.665311473848296</v>
      </c>
      <c r="Q7" s="170">
        <v>4.656392463561027</v>
      </c>
      <c r="R7" s="170">
        <v>4.668090751835562</v>
      </c>
      <c r="S7" s="170">
        <v>4.6382749401056875</v>
      </c>
      <c r="T7" s="170">
        <v>4.628983315841435</v>
      </c>
      <c r="U7" s="170">
        <v>3.5426323866736364</v>
      </c>
      <c r="V7" s="170">
        <v>4.610132675717699</v>
      </c>
      <c r="W7" s="170">
        <v>4.600544998710067</v>
      </c>
      <c r="X7" s="170">
        <v>4.590821268757007</v>
      </c>
      <c r="Y7" s="170">
        <v>4.578272628864454</v>
      </c>
      <c r="Z7" s="170">
        <v>3.490787653711185</v>
      </c>
      <c r="AA7" s="170">
        <v>4.555995670940545</v>
      </c>
      <c r="AB7" s="170">
        <v>3.8204157675411565</v>
      </c>
      <c r="AC7" s="170">
        <v>4.414798840873013</v>
      </c>
      <c r="AD7" s="170">
        <v>3.4016194383877023</v>
      </c>
      <c r="AE7" s="170">
        <v>4.162871309347272</v>
      </c>
      <c r="AF7" s="170">
        <v>4.553730528458957</v>
      </c>
      <c r="AG7" s="170">
        <v>4.337306648526315</v>
      </c>
      <c r="AH7" s="170">
        <v>5.237102174146905</v>
      </c>
      <c r="AI7" s="170">
        <v>4.46466360111228</v>
      </c>
      <c r="AJ7" s="170">
        <v>4.529839169147224</v>
      </c>
      <c r="AK7" s="170">
        <v>4.4465511120580015</v>
      </c>
      <c r="AL7" s="170">
        <v>4.35027259039498</v>
      </c>
      <c r="AM7" s="170">
        <v>4.422936956115228</v>
      </c>
      <c r="AN7" s="170">
        <v>4.358985342657133</v>
      </c>
      <c r="AO7" s="170">
        <v>4.399082728929056</v>
      </c>
      <c r="AP7" s="170">
        <v>4.552113308051799</v>
      </c>
      <c r="AQ7" s="170">
        <v>4.374723956604859</v>
      </c>
      <c r="AR7" s="170">
        <v>4.362925741134484</v>
      </c>
      <c r="AS7" s="170">
        <v>4.350727711559969</v>
      </c>
      <c r="AT7" s="170">
        <v>4.339472254019055</v>
      </c>
      <c r="AU7" s="170">
        <v>4.328109179826341</v>
      </c>
      <c r="AV7" s="170">
        <v>4.316246753457332</v>
      </c>
      <c r="AW7" s="170">
        <v>4.304979705972025</v>
      </c>
      <c r="AX7" s="170">
        <v>4.29354877594895</v>
      </c>
      <c r="AY7" s="171"/>
      <c r="AZ7" s="171"/>
      <c r="BA7" s="171"/>
      <c r="BB7" s="171"/>
      <c r="BC7" s="171"/>
      <c r="BD7" s="171"/>
      <c r="BE7" s="171"/>
      <c r="BF7" s="171"/>
    </row>
    <row r="8" spans="1:58" ht="15.75">
      <c r="A8" s="167">
        <v>1.2000000000000002</v>
      </c>
      <c r="B8" s="170">
        <v>4.777826209361446</v>
      </c>
      <c r="C8" s="170">
        <v>4.773404001520648</v>
      </c>
      <c r="D8" s="170">
        <v>4.766246994853597</v>
      </c>
      <c r="E8" s="170">
        <v>4.761126819943745</v>
      </c>
      <c r="F8" s="170">
        <v>4.755374112118309</v>
      </c>
      <c r="G8" s="170">
        <v>4.743652834145085</v>
      </c>
      <c r="H8" s="170">
        <v>4.736314567667468</v>
      </c>
      <c r="I8" s="170">
        <v>4.728740075533686</v>
      </c>
      <c r="J8" s="170">
        <v>4.721118249685353</v>
      </c>
      <c r="K8" s="170">
        <v>4.713504646611719</v>
      </c>
      <c r="L8" s="170">
        <v>4.705148922949319</v>
      </c>
      <c r="M8" s="170">
        <v>4.697707611658498</v>
      </c>
      <c r="N8" s="170">
        <v>4.689261883911454</v>
      </c>
      <c r="O8" s="170">
        <v>4.680724439561151</v>
      </c>
      <c r="P8" s="170">
        <v>4.671987118728138</v>
      </c>
      <c r="Q8" s="170">
        <v>4.663114162242726</v>
      </c>
      <c r="R8" s="170">
        <v>4.654197197565956</v>
      </c>
      <c r="S8" s="170">
        <v>4.666799694900411</v>
      </c>
      <c r="T8" s="170">
        <v>4.657254164811357</v>
      </c>
      <c r="U8" s="170">
        <v>4.626511962793338</v>
      </c>
      <c r="V8" s="170">
        <v>4.638036761259432</v>
      </c>
      <c r="W8" s="170">
        <v>4.607511177231301</v>
      </c>
      <c r="X8" s="170">
        <v>4.597837842731702</v>
      </c>
      <c r="Y8" s="170">
        <v>4.588068000484241</v>
      </c>
      <c r="Z8" s="170">
        <v>3.5163579400756886</v>
      </c>
      <c r="AA8" s="170">
        <v>4.568346467738564</v>
      </c>
      <c r="AB8" s="170">
        <v>4.558396265998767</v>
      </c>
      <c r="AC8" s="170">
        <v>4.5483363116173825</v>
      </c>
      <c r="AD8" s="170">
        <v>4.086208836986699</v>
      </c>
      <c r="AE8" s="170">
        <v>4.52807760896835</v>
      </c>
      <c r="AF8" s="170">
        <v>4.517832767471718</v>
      </c>
      <c r="AG8" s="170">
        <v>4.507561226591287</v>
      </c>
      <c r="AH8" s="170">
        <v>4.13019161112327</v>
      </c>
      <c r="AI8" s="170">
        <v>4.486828152299924</v>
      </c>
      <c r="AJ8" s="170">
        <v>4.476410228036518</v>
      </c>
      <c r="AK8" s="170">
        <v>4.465486062569339</v>
      </c>
      <c r="AL8" s="170">
        <v>4.50455397195551</v>
      </c>
      <c r="AM8" s="170">
        <v>4.444131539414337</v>
      </c>
      <c r="AN8" s="170">
        <v>4.433109599938041</v>
      </c>
      <c r="AO8" s="170">
        <v>4.4220976308293025</v>
      </c>
      <c r="AP8" s="170">
        <v>4.4069024208306615</v>
      </c>
      <c r="AQ8" s="170">
        <v>4.396462691243886</v>
      </c>
      <c r="AR8" s="170">
        <v>4.385468642901374</v>
      </c>
      <c r="AS8" s="170">
        <v>4.376429870150315</v>
      </c>
      <c r="AT8" s="170">
        <v>4.3650759875139915</v>
      </c>
      <c r="AU8" s="170">
        <v>4.352856147893237</v>
      </c>
      <c r="AV8" s="170">
        <v>4.3407922379472</v>
      </c>
      <c r="AW8" s="170">
        <v>4.3294267949175875</v>
      </c>
      <c r="AX8" s="170">
        <v>4.317450053220384</v>
      </c>
      <c r="AY8" s="171"/>
      <c r="AZ8" s="171"/>
      <c r="BA8" s="171"/>
      <c r="BB8" s="171"/>
      <c r="BC8" s="171"/>
      <c r="BD8" s="171"/>
      <c r="BE8" s="171"/>
      <c r="BF8" s="171"/>
    </row>
    <row r="9" spans="1:58" ht="15.75">
      <c r="A9" s="167">
        <v>1.4000000000000001</v>
      </c>
      <c r="B9" s="170">
        <v>4.807451247856134</v>
      </c>
      <c r="C9" s="170">
        <v>4.792848240649218</v>
      </c>
      <c r="D9" s="170">
        <v>4.802104020309761</v>
      </c>
      <c r="E9" s="170">
        <v>4.800553553166701</v>
      </c>
      <c r="F9" s="170">
        <v>4.7852967207738</v>
      </c>
      <c r="G9" s="170">
        <v>4.77300758732953</v>
      </c>
      <c r="H9" s="170">
        <v>4.751208152045476</v>
      </c>
      <c r="I9" s="170">
        <v>4.746886874424969</v>
      </c>
      <c r="J9" s="170">
        <v>4.738148363732048</v>
      </c>
      <c r="K9" s="170">
        <v>4.728461895484623</v>
      </c>
      <c r="L9" s="170">
        <v>4.7215529742888345</v>
      </c>
      <c r="M9" s="170">
        <v>4.710593322760077</v>
      </c>
      <c r="N9" s="170">
        <v>4.703258851838268</v>
      </c>
      <c r="O9" s="170">
        <v>4.690354854767158</v>
      </c>
      <c r="P9" s="170">
        <v>4.682445297333814</v>
      </c>
      <c r="Q9" s="170">
        <v>4.671802009725848</v>
      </c>
      <c r="R9" s="170">
        <v>4.660268156967437</v>
      </c>
      <c r="S9" s="170">
        <v>4.651976837391203</v>
      </c>
      <c r="T9" s="170">
        <v>4.642561815001997</v>
      </c>
      <c r="U9" s="170">
        <v>4.6332990722479535</v>
      </c>
      <c r="V9" s="170">
        <v>4.6238804923732495</v>
      </c>
      <c r="W9" s="170">
        <v>4.614400329409665</v>
      </c>
      <c r="X9" s="170">
        <v>4.604770120053217</v>
      </c>
      <c r="Y9" s="170">
        <v>4.595046416544838</v>
      </c>
      <c r="Z9" s="170">
        <v>4.585263456942618</v>
      </c>
      <c r="AA9" s="170">
        <v>4.575406436749025</v>
      </c>
      <c r="AB9" s="170">
        <v>4.5654680966506325</v>
      </c>
      <c r="AC9" s="170">
        <v>4.555477991882934</v>
      </c>
      <c r="AD9" s="170">
        <v>4.545426878314187</v>
      </c>
      <c r="AE9" s="170">
        <v>4.535318285789691</v>
      </c>
      <c r="AF9" s="170">
        <v>4.525149106525487</v>
      </c>
      <c r="AG9" s="170">
        <v>4.5149320944533375</v>
      </c>
      <c r="AH9" s="170">
        <v>4.5046340949514505</v>
      </c>
      <c r="AI9" s="170">
        <v>4.494356983435753</v>
      </c>
      <c r="AJ9" s="170">
        <v>4.484007817492917</v>
      </c>
      <c r="AK9" s="170">
        <v>4.473613785749156</v>
      </c>
      <c r="AL9" s="170">
        <v>3.6289124964593706</v>
      </c>
      <c r="AM9" s="170">
        <v>4.452701425978081</v>
      </c>
      <c r="AN9" s="170">
        <v>4.442223819282482</v>
      </c>
      <c r="AO9" s="170">
        <v>4.431731892000799</v>
      </c>
      <c r="AP9" s="170">
        <v>4.41879984602392</v>
      </c>
      <c r="AQ9" s="170">
        <v>4.4106077786390365</v>
      </c>
      <c r="AR9" s="170">
        <v>4.400027606732702</v>
      </c>
      <c r="AS9" s="170">
        <v>4.38943297570555</v>
      </c>
      <c r="AT9" s="170">
        <v>4.377438763235781</v>
      </c>
      <c r="AU9" s="170">
        <v>4.368116907707055</v>
      </c>
      <c r="AV9" s="170">
        <v>4.356097468988348</v>
      </c>
      <c r="AW9" s="170">
        <v>4.346727290902802</v>
      </c>
      <c r="AX9" s="170">
        <v>4.33593155759236</v>
      </c>
      <c r="AY9" s="171"/>
      <c r="AZ9" s="171"/>
      <c r="BA9" s="171"/>
      <c r="BB9" s="171"/>
      <c r="BC9" s="171"/>
      <c r="BD9" s="171"/>
      <c r="BE9" s="171"/>
      <c r="BF9" s="171"/>
    </row>
    <row r="10" spans="1:58" ht="15.75">
      <c r="A10" s="167">
        <v>1.6</v>
      </c>
      <c r="B10" s="170">
        <v>4.873280262182639</v>
      </c>
      <c r="C10" s="170">
        <v>4.859033505297689</v>
      </c>
      <c r="D10" s="170">
        <v>4.845738444859948</v>
      </c>
      <c r="E10" s="170">
        <v>4.83349509787135</v>
      </c>
      <c r="F10" s="170">
        <v>4.821759150808778</v>
      </c>
      <c r="G10" s="170">
        <v>4.810052673163692</v>
      </c>
      <c r="H10" s="170">
        <v>4.799310684231246</v>
      </c>
      <c r="I10" s="170">
        <v>4.765038949569185</v>
      </c>
      <c r="J10" s="170">
        <v>4.768396046434491</v>
      </c>
      <c r="K10" s="170">
        <v>4.759740564542919</v>
      </c>
      <c r="L10" s="170">
        <v>4.750066294964324</v>
      </c>
      <c r="M10" s="170">
        <v>4.731024887060571</v>
      </c>
      <c r="N10" s="170">
        <v>4.722936471766647</v>
      </c>
      <c r="O10" s="170">
        <v>4.711697569877884</v>
      </c>
      <c r="P10" s="170">
        <v>4.703249177092543</v>
      </c>
      <c r="Q10" s="170">
        <v>4.691873190292094</v>
      </c>
      <c r="R10" s="170">
        <v>4.680377604705938</v>
      </c>
      <c r="S10" s="170">
        <v>4.674963554359373</v>
      </c>
      <c r="T10" s="170">
        <v>4.665438717604891</v>
      </c>
      <c r="U10" s="170">
        <v>4.653425901081289</v>
      </c>
      <c r="V10" s="170">
        <v>4.646263250101178</v>
      </c>
      <c r="W10" s="170">
        <v>4.630652468450247</v>
      </c>
      <c r="X10" s="170">
        <v>4.618314228423417</v>
      </c>
      <c r="Y10" s="170">
        <v>4.606705413304733</v>
      </c>
      <c r="Z10" s="170">
        <v>4.607483084807824</v>
      </c>
      <c r="AA10" s="170">
        <v>4.583890383889771</v>
      </c>
      <c r="AB10" s="170">
        <v>4.572477565693737</v>
      </c>
      <c r="AC10" s="170">
        <v>4.562523819717913</v>
      </c>
      <c r="AD10" s="170">
        <v>3.5700290627784192</v>
      </c>
      <c r="AE10" s="170">
        <v>4.542429302973195</v>
      </c>
      <c r="AF10" s="170">
        <v>3.8670371886364823</v>
      </c>
      <c r="AG10" s="170">
        <v>3.9585040414423203</v>
      </c>
      <c r="AH10" s="170">
        <v>4.511855498165102</v>
      </c>
      <c r="AI10" s="170">
        <v>4.206779966400848</v>
      </c>
      <c r="AJ10" s="170">
        <v>4.51161867686362</v>
      </c>
      <c r="AK10" s="170">
        <v>4.480986440358182</v>
      </c>
      <c r="AL10" s="170">
        <v>4.517916582657363</v>
      </c>
      <c r="AM10" s="170">
        <v>4.460223887283657</v>
      </c>
      <c r="AN10" s="170">
        <v>4.449821333582448</v>
      </c>
      <c r="AO10" s="170">
        <v>4.43936664210035</v>
      </c>
      <c r="AP10" s="170">
        <v>4.4288691376137175</v>
      </c>
      <c r="AQ10" s="170">
        <v>4.4183794202374544</v>
      </c>
      <c r="AR10" s="170">
        <v>4.410270800446121</v>
      </c>
      <c r="AS10" s="170">
        <v>4.3997282208148</v>
      </c>
      <c r="AT10" s="170">
        <v>4.389213120072784</v>
      </c>
      <c r="AU10" s="170">
        <v>4.378669928910673</v>
      </c>
      <c r="AV10" s="170">
        <v>4.368136706642046</v>
      </c>
      <c r="AW10" s="170">
        <v>4.357582824462311</v>
      </c>
      <c r="AX10" s="170">
        <v>4.346988670726776</v>
      </c>
      <c r="AY10" s="171"/>
      <c r="AZ10" s="171"/>
      <c r="BA10" s="171"/>
      <c r="BB10" s="171"/>
      <c r="BC10" s="171"/>
      <c r="BD10" s="171"/>
      <c r="BE10" s="171"/>
      <c r="BF10" s="171"/>
    </row>
    <row r="11" spans="1:58" ht="15.75">
      <c r="A11" s="167">
        <v>1.8</v>
      </c>
      <c r="B11" s="170">
        <v>4.881873861686789</v>
      </c>
      <c r="C11" s="170">
        <v>4.867841610454777</v>
      </c>
      <c r="D11" s="170">
        <v>4.85460081334643</v>
      </c>
      <c r="E11" s="170">
        <v>4.838562626534406</v>
      </c>
      <c r="F11" s="170">
        <v>4.827567612732484</v>
      </c>
      <c r="G11" s="170">
        <v>4.816947309085563</v>
      </c>
      <c r="H11" s="170">
        <v>4.800908433361308</v>
      </c>
      <c r="I11" s="170">
        <v>4.789914064381717</v>
      </c>
      <c r="J11" s="170">
        <v>4.7795882938576355</v>
      </c>
      <c r="K11" s="170">
        <v>4.7684215924185835</v>
      </c>
      <c r="L11" s="170">
        <v>4.757102166941779</v>
      </c>
      <c r="M11" s="170">
        <v>4.7475675762785325</v>
      </c>
      <c r="N11" s="170">
        <v>4.7377430668577905</v>
      </c>
      <c r="O11" s="170">
        <v>4.728744516889565</v>
      </c>
      <c r="P11" s="170">
        <v>4.718478417074428</v>
      </c>
      <c r="Q11" s="170">
        <v>4.7089632683176905</v>
      </c>
      <c r="R11" s="170">
        <v>4.698175782586091</v>
      </c>
      <c r="S11" s="170">
        <v>4.687340952801751</v>
      </c>
      <c r="T11" s="170">
        <v>4.676919368050663</v>
      </c>
      <c r="U11" s="170">
        <v>4.66401131376195</v>
      </c>
      <c r="V11" s="170">
        <v>4.577831780116458</v>
      </c>
      <c r="W11" s="170">
        <v>4.641886502620936</v>
      </c>
      <c r="X11" s="170">
        <v>4.642270684911753</v>
      </c>
      <c r="Y11" s="170">
        <v>4.620812402898619</v>
      </c>
      <c r="Z11" s="170">
        <v>4.609867721652291</v>
      </c>
      <c r="AA11" s="170">
        <v>4.600637582322867</v>
      </c>
      <c r="AB11" s="170">
        <v>4.5870732754482875</v>
      </c>
      <c r="AC11" s="170">
        <v>4.577453685022412</v>
      </c>
      <c r="AD11" s="170">
        <v>4.576581333220458</v>
      </c>
      <c r="AE11" s="170">
        <v>4.554182342543138</v>
      </c>
      <c r="AF11" s="170">
        <v>4.541676463731242</v>
      </c>
      <c r="AG11" s="170">
        <v>4.529264098432054</v>
      </c>
      <c r="AH11" s="170">
        <v>4.553410090037047</v>
      </c>
      <c r="AI11" s="170">
        <v>4.508829263596246</v>
      </c>
      <c r="AJ11" s="170">
        <v>4.4985704006333105</v>
      </c>
      <c r="AK11" s="170">
        <v>4.488253128837182</v>
      </c>
      <c r="AL11" s="170">
        <v>4.477922140779763</v>
      </c>
      <c r="AM11" s="170">
        <v>4.467580120103234</v>
      </c>
      <c r="AN11" s="170">
        <v>4.45720361742071</v>
      </c>
      <c r="AO11" s="170">
        <v>4.446806097951612</v>
      </c>
      <c r="AP11" s="170">
        <v>4.436348371911532</v>
      </c>
      <c r="AQ11" s="170">
        <v>4.4259297023194275</v>
      </c>
      <c r="AR11" s="170">
        <v>4.417754223229411</v>
      </c>
      <c r="AS11" s="170">
        <v>4.407238176106949</v>
      </c>
      <c r="AT11" s="170">
        <v>4.39674957126386</v>
      </c>
      <c r="AU11" s="170">
        <v>4.3862379291969855</v>
      </c>
      <c r="AV11" s="170">
        <v>4.375716314994926</v>
      </c>
      <c r="AW11" s="170">
        <v>4.365187654419779</v>
      </c>
      <c r="AX11" s="170">
        <v>4.354636444665995</v>
      </c>
      <c r="AY11" s="171"/>
      <c r="AZ11" s="171"/>
      <c r="BA11" s="171"/>
      <c r="BB11" s="171"/>
      <c r="BC11" s="171"/>
      <c r="BD11" s="171"/>
      <c r="BE11" s="171"/>
      <c r="BF11" s="171"/>
    </row>
    <row r="12" spans="1:58" ht="15.75">
      <c r="A12" s="167">
        <v>2</v>
      </c>
      <c r="B12" s="170">
        <v>4.278856579133944</v>
      </c>
      <c r="C12" s="170">
        <v>4.8720101897252</v>
      </c>
      <c r="D12" s="170">
        <v>4.859522372273433</v>
      </c>
      <c r="E12" s="170">
        <v>4.846866716200153</v>
      </c>
      <c r="F12" s="170">
        <v>4.835598471147741</v>
      </c>
      <c r="G12" s="170">
        <v>4.8243441292236655</v>
      </c>
      <c r="H12" s="170">
        <v>4.808305879039612</v>
      </c>
      <c r="I12" s="170">
        <v>4.79763187291555</v>
      </c>
      <c r="J12" s="170">
        <v>4.7871747909014655</v>
      </c>
      <c r="K12" s="170">
        <v>4.776830283501968</v>
      </c>
      <c r="L12" s="170">
        <v>4.766641230477399</v>
      </c>
      <c r="M12" s="170">
        <v>4.757314659593578</v>
      </c>
      <c r="N12" s="170">
        <v>4.747298523009641</v>
      </c>
      <c r="O12" s="170">
        <v>4.737156169595592</v>
      </c>
      <c r="P12" s="170">
        <v>4.726878737468573</v>
      </c>
      <c r="Q12" s="170">
        <v>4.716724349785691</v>
      </c>
      <c r="R12" s="170">
        <v>4.700539285511662</v>
      </c>
      <c r="S12" s="170">
        <v>4.691100021201704</v>
      </c>
      <c r="T12" s="170">
        <v>4.686594943706272</v>
      </c>
      <c r="U12" s="170">
        <v>4.675619580494413</v>
      </c>
      <c r="V12" s="170">
        <v>4.354490369915958</v>
      </c>
      <c r="W12" s="170">
        <v>4.652916679541679</v>
      </c>
      <c r="X12" s="170">
        <v>4.645766890908607</v>
      </c>
      <c r="Y12" s="170">
        <v>4.634538645470944</v>
      </c>
      <c r="Z12" s="170">
        <v>4.075977902081115</v>
      </c>
      <c r="AA12" s="170">
        <v>4.614178045243697</v>
      </c>
      <c r="AB12" s="170">
        <v>4.603295653653024</v>
      </c>
      <c r="AC12" s="170">
        <v>4.591509726061385</v>
      </c>
      <c r="AD12" s="170">
        <v>4.473234018773459</v>
      </c>
      <c r="AE12" s="170">
        <v>4.575023087527163</v>
      </c>
      <c r="AF12" s="170">
        <v>4.546036820420118</v>
      </c>
      <c r="AG12" s="170">
        <v>4.558123076965138</v>
      </c>
      <c r="AH12" s="170">
        <v>4.556715107497851</v>
      </c>
      <c r="AI12" s="170">
        <v>4.522668243489636</v>
      </c>
      <c r="AJ12" s="170">
        <v>4.534465349387805</v>
      </c>
      <c r="AK12" s="170">
        <v>4.497902991952372</v>
      </c>
      <c r="AL12" s="170">
        <v>4.505821515813376</v>
      </c>
      <c r="AM12" s="170">
        <v>4.474849996550488</v>
      </c>
      <c r="AN12" s="170">
        <v>4.488102626543186</v>
      </c>
      <c r="AO12" s="170">
        <v>4.454145228218939</v>
      </c>
      <c r="AP12" s="170">
        <v>4.466033187051617</v>
      </c>
      <c r="AQ12" s="170">
        <v>4.433343963138718</v>
      </c>
      <c r="AR12" s="170">
        <v>4.4251465811604564</v>
      </c>
      <c r="AS12" s="170">
        <v>4.414664952585951</v>
      </c>
      <c r="AT12" s="170">
        <v>4.404180149483547</v>
      </c>
      <c r="AU12" s="170">
        <v>4.39369838599654</v>
      </c>
      <c r="AV12" s="170">
        <v>4.38319897390742</v>
      </c>
      <c r="AW12" s="170">
        <v>4.372711520784928</v>
      </c>
      <c r="AX12" s="170">
        <v>4.362200555250088</v>
      </c>
      <c r="AY12" s="171"/>
      <c r="AZ12" s="171"/>
      <c r="BA12" s="171"/>
      <c r="BB12" s="171"/>
      <c r="BC12" s="171"/>
      <c r="BD12" s="171"/>
      <c r="BE12" s="171"/>
      <c r="BF12" s="171"/>
    </row>
    <row r="13" spans="1:58" ht="15.75">
      <c r="A13" s="167">
        <v>2.2</v>
      </c>
      <c r="B13" s="170">
        <v>4.893310358982783</v>
      </c>
      <c r="C13" s="170">
        <v>4.880066609223698</v>
      </c>
      <c r="D13" s="170">
        <v>4.867323569245254</v>
      </c>
      <c r="E13" s="170">
        <v>4.852269421910102</v>
      </c>
      <c r="F13" s="170">
        <v>4.841366165397107</v>
      </c>
      <c r="G13" s="170">
        <v>4.830417862948393</v>
      </c>
      <c r="H13" s="170">
        <v>4.815756377258226</v>
      </c>
      <c r="I13" s="170">
        <v>4.805424274958162</v>
      </c>
      <c r="J13" s="170">
        <v>4.7950678998546294</v>
      </c>
      <c r="K13" s="170">
        <v>4.784760485858504</v>
      </c>
      <c r="L13" s="170">
        <v>4.774569908242964</v>
      </c>
      <c r="M13" s="170">
        <v>4.764551112752286</v>
      </c>
      <c r="N13" s="170">
        <v>4.7545907441389605</v>
      </c>
      <c r="O13" s="170">
        <v>4.7445714212489385</v>
      </c>
      <c r="P13" s="170">
        <v>4.73455700576318</v>
      </c>
      <c r="Q13" s="170">
        <v>4.724735832308288</v>
      </c>
      <c r="R13" s="170">
        <v>4.714123587225899</v>
      </c>
      <c r="S13" s="170">
        <v>4.704422407183418</v>
      </c>
      <c r="T13" s="170">
        <v>4.69450215177951</v>
      </c>
      <c r="U13" s="170">
        <v>4.684467749971662</v>
      </c>
      <c r="V13" s="170">
        <v>4.674489966173516</v>
      </c>
      <c r="W13" s="170">
        <v>4.6609700364212685</v>
      </c>
      <c r="X13" s="170">
        <v>4.654336819276749</v>
      </c>
      <c r="Y13" s="170">
        <v>4.643756586944896</v>
      </c>
      <c r="Z13" s="170">
        <v>3.689697434965201</v>
      </c>
      <c r="AA13" s="170">
        <v>4.62329411893146</v>
      </c>
      <c r="AB13" s="170">
        <v>4.612578290330935</v>
      </c>
      <c r="AC13" s="170">
        <v>4.602868541516711</v>
      </c>
      <c r="AD13" s="170">
        <v>3.5215949798930573</v>
      </c>
      <c r="AE13" s="170">
        <v>4.5817828207662314</v>
      </c>
      <c r="AF13" s="170">
        <v>3.9418662751303057</v>
      </c>
      <c r="AG13" s="170">
        <v>3.956069608687274</v>
      </c>
      <c r="AH13" s="170">
        <v>4.5482322783103815</v>
      </c>
      <c r="AI13" s="170">
        <v>3.9960755456815407</v>
      </c>
      <c r="AJ13" s="170">
        <v>4.4787553684865165</v>
      </c>
      <c r="AK13" s="170">
        <v>4.515499029048324</v>
      </c>
      <c r="AL13" s="170">
        <v>4.249090950505349</v>
      </c>
      <c r="AM13" s="170">
        <v>4.4910924178742</v>
      </c>
      <c r="AN13" s="170">
        <v>4.478526936700243</v>
      </c>
      <c r="AO13" s="170">
        <v>4.466115824698031</v>
      </c>
      <c r="AP13" s="170">
        <v>4.453152816187537</v>
      </c>
      <c r="AQ13" s="170">
        <v>4.4406517463369</v>
      </c>
      <c r="AR13" s="170">
        <v>4.432465094197142</v>
      </c>
      <c r="AS13" s="170">
        <v>4.421991829790004</v>
      </c>
      <c r="AT13" s="170">
        <v>4.411542723887966</v>
      </c>
      <c r="AU13" s="170">
        <v>4.401102892235483</v>
      </c>
      <c r="AV13" s="170">
        <v>4.3906242319362665</v>
      </c>
      <c r="AW13" s="170">
        <v>4.380170553679248</v>
      </c>
      <c r="AX13" s="170">
        <v>4.369695015797932</v>
      </c>
      <c r="AY13" s="171"/>
      <c r="AZ13" s="171"/>
      <c r="BA13" s="171"/>
      <c r="BB13" s="171"/>
      <c r="BC13" s="171"/>
      <c r="BD13" s="171"/>
      <c r="BE13" s="171"/>
      <c r="BF13" s="171"/>
    </row>
    <row r="14" spans="1:58" ht="15.75">
      <c r="A14" s="167">
        <v>2.4000000000000004</v>
      </c>
      <c r="B14" s="170">
        <v>4.898323687453323</v>
      </c>
      <c r="C14" s="170">
        <v>4.88545099235404</v>
      </c>
      <c r="D14" s="170">
        <v>4.87307634109194</v>
      </c>
      <c r="E14" s="170">
        <v>4.858494207486558</v>
      </c>
      <c r="F14" s="170">
        <v>4.847639003279748</v>
      </c>
      <c r="G14" s="170">
        <v>4.8374406621004375</v>
      </c>
      <c r="H14" s="170">
        <v>4.822300663463928</v>
      </c>
      <c r="I14" s="170">
        <v>4.811944764321385</v>
      </c>
      <c r="J14" s="170">
        <v>4.801474397699186</v>
      </c>
      <c r="K14" s="170">
        <v>4.791423583343055</v>
      </c>
      <c r="L14" s="170">
        <v>4.781254954204956</v>
      </c>
      <c r="M14" s="170">
        <v>4.771329365548961</v>
      </c>
      <c r="N14" s="170">
        <v>4.761358962872044</v>
      </c>
      <c r="O14" s="170">
        <v>4.751415112451434</v>
      </c>
      <c r="P14" s="170">
        <v>4.741439260004921</v>
      </c>
      <c r="Q14" s="170">
        <v>4.731628287605381</v>
      </c>
      <c r="R14" s="170">
        <v>4.7216900932197685</v>
      </c>
      <c r="S14" s="170">
        <v>4.711894786123079</v>
      </c>
      <c r="T14" s="170">
        <v>4.7020465736611445</v>
      </c>
      <c r="U14" s="170">
        <v>4.692131142275915</v>
      </c>
      <c r="V14" s="170">
        <v>4.682221986533423</v>
      </c>
      <c r="W14" s="170">
        <v>4.672332159363048</v>
      </c>
      <c r="X14" s="170">
        <v>4.662388993049185</v>
      </c>
      <c r="Y14" s="170">
        <v>4.652467491856304</v>
      </c>
      <c r="Z14" s="170">
        <v>3.9828740421664426</v>
      </c>
      <c r="AA14" s="170">
        <v>4.632058322652496</v>
      </c>
      <c r="AB14" s="170">
        <v>3.991755197005981</v>
      </c>
      <c r="AC14" s="170">
        <v>4.067449313440593</v>
      </c>
      <c r="AD14" s="170">
        <v>4.082342173929891</v>
      </c>
      <c r="AE14" s="170">
        <v>4.591185913992349</v>
      </c>
      <c r="AF14" s="170">
        <v>4.581051860188049</v>
      </c>
      <c r="AG14" s="170">
        <v>4.5704695872671675</v>
      </c>
      <c r="AH14" s="170">
        <v>4.560157004450923</v>
      </c>
      <c r="AI14" s="170">
        <v>4.549680380933931</v>
      </c>
      <c r="AJ14" s="170">
        <v>4.538972170495735</v>
      </c>
      <c r="AK14" s="170">
        <v>4.527823292274165</v>
      </c>
      <c r="AL14" s="170">
        <v>4.517377480638961</v>
      </c>
      <c r="AM14" s="170">
        <v>4.506459217437191</v>
      </c>
      <c r="AN14" s="170">
        <v>4.495219740332193</v>
      </c>
      <c r="AO14" s="170">
        <v>4.483796282167486</v>
      </c>
      <c r="AP14" s="170">
        <v>4.471024391941609</v>
      </c>
      <c r="AQ14" s="170">
        <v>4.4603288690585075</v>
      </c>
      <c r="AR14" s="170">
        <v>4.447306499605075</v>
      </c>
      <c r="AS14" s="170">
        <v>4.4372390415010425</v>
      </c>
      <c r="AT14" s="170">
        <v>4.424059449010317</v>
      </c>
      <c r="AU14" s="170">
        <v>4.410177756203831</v>
      </c>
      <c r="AV14" s="170">
        <v>4.398049514929286</v>
      </c>
      <c r="AW14" s="170">
        <v>4.387599332111961</v>
      </c>
      <c r="AX14" s="170">
        <v>4.377133878104739</v>
      </c>
      <c r="AY14" s="171"/>
      <c r="AZ14" s="171"/>
      <c r="BA14" s="171"/>
      <c r="BB14" s="171"/>
      <c r="BC14" s="171"/>
      <c r="BD14" s="171"/>
      <c r="BE14" s="171"/>
      <c r="BF14" s="171"/>
    </row>
    <row r="15" spans="1:58" ht="15.75">
      <c r="A15" s="167">
        <v>2.6</v>
      </c>
      <c r="B15" s="170">
        <v>4.903762730287174</v>
      </c>
      <c r="C15" s="170">
        <v>4.8911167514709915</v>
      </c>
      <c r="D15" s="170">
        <v>4.879043674965758</v>
      </c>
      <c r="E15" s="170">
        <v>4.864444015276027</v>
      </c>
      <c r="F15" s="170">
        <v>4.8539014420564595</v>
      </c>
      <c r="G15" s="170">
        <v>4.8435553832198295</v>
      </c>
      <c r="H15" s="170">
        <v>4.8288127466358395</v>
      </c>
      <c r="I15" s="170">
        <v>4.818371265102847</v>
      </c>
      <c r="J15" s="170">
        <v>4.808089678829438</v>
      </c>
      <c r="K15" s="170">
        <v>4.797945311999348</v>
      </c>
      <c r="L15" s="170">
        <v>4.787932848792195</v>
      </c>
      <c r="M15" s="170">
        <v>4.777994590231991</v>
      </c>
      <c r="N15" s="170">
        <v>4.76802813643929</v>
      </c>
      <c r="O15" s="170">
        <v>4.758112590766718</v>
      </c>
      <c r="P15" s="170">
        <v>4.748226187603076</v>
      </c>
      <c r="Q15" s="170">
        <v>4.738452455379142</v>
      </c>
      <c r="R15" s="170">
        <v>4.728726334066895</v>
      </c>
      <c r="S15" s="170">
        <v>4.718911047665242</v>
      </c>
      <c r="T15" s="170">
        <v>4.709092925556904</v>
      </c>
      <c r="U15" s="170">
        <v>4.699301079943061</v>
      </c>
      <c r="V15" s="170">
        <v>4.689531924690653</v>
      </c>
      <c r="W15" s="170">
        <v>4.679716599149499</v>
      </c>
      <c r="X15" s="170">
        <v>4.659362016980871</v>
      </c>
      <c r="Y15" s="170">
        <v>4.649731052526598</v>
      </c>
      <c r="Z15" s="170">
        <v>4.650273160107672</v>
      </c>
      <c r="AA15" s="170">
        <v>4.640326939620518</v>
      </c>
      <c r="AB15" s="170">
        <v>4.630551890899549</v>
      </c>
      <c r="AC15" s="170">
        <v>4.620546319172817</v>
      </c>
      <c r="AD15" s="170">
        <v>4.6011712966798095</v>
      </c>
      <c r="AE15" s="170">
        <v>4.600547866208411</v>
      </c>
      <c r="AF15" s="170">
        <v>4.590493696205757</v>
      </c>
      <c r="AG15" s="170">
        <v>4.580408136095973</v>
      </c>
      <c r="AH15" s="170">
        <v>4.570373630216994</v>
      </c>
      <c r="AI15" s="170">
        <v>4.552099177044995</v>
      </c>
      <c r="AJ15" s="170">
        <v>4.549901437187077</v>
      </c>
      <c r="AK15" s="170">
        <v>4.539626395680992</v>
      </c>
      <c r="AL15" s="170">
        <v>4.529314601876745</v>
      </c>
      <c r="AM15" s="170">
        <v>4.51883517873485</v>
      </c>
      <c r="AN15" s="170">
        <v>4.502695041435084</v>
      </c>
      <c r="AO15" s="170">
        <v>4.497463937447716</v>
      </c>
      <c r="AP15" s="170">
        <v>4.48287315465488</v>
      </c>
      <c r="AQ15" s="170">
        <v>4.476268088430387</v>
      </c>
      <c r="AR15" s="170">
        <v>4.465286297900434</v>
      </c>
      <c r="AS15" s="170">
        <v>4.454383758106352</v>
      </c>
      <c r="AT15" s="170">
        <v>4.443083516065911</v>
      </c>
      <c r="AU15" s="170">
        <v>4.431444856388306</v>
      </c>
      <c r="AV15" s="170">
        <v>4.4211383465860665</v>
      </c>
      <c r="AW15" s="170">
        <v>4.408637903084803</v>
      </c>
      <c r="AX15" s="170">
        <v>4.401883315153277</v>
      </c>
      <c r="AY15" s="171"/>
      <c r="AZ15" s="171"/>
      <c r="BA15" s="171"/>
      <c r="BB15" s="171"/>
      <c r="BC15" s="171"/>
      <c r="BD15" s="171"/>
      <c r="BE15" s="171"/>
      <c r="BF15" s="171"/>
    </row>
    <row r="16" spans="1:58" ht="15.75">
      <c r="A16" s="167">
        <v>2.8000000000000003</v>
      </c>
      <c r="B16" s="170">
        <v>4.908814286988502</v>
      </c>
      <c r="C16" s="170">
        <v>4.896574164269256</v>
      </c>
      <c r="D16" s="170">
        <v>4.884658161189978</v>
      </c>
      <c r="E16" s="170">
        <v>4.870602948809799</v>
      </c>
      <c r="F16" s="170">
        <v>4.860097086793747</v>
      </c>
      <c r="G16" s="170">
        <v>4.849899110967176</v>
      </c>
      <c r="H16" s="170">
        <v>4.835085233187294</v>
      </c>
      <c r="I16" s="170">
        <v>4.824846384895358</v>
      </c>
      <c r="J16" s="170">
        <v>4.814457222482562</v>
      </c>
      <c r="K16" s="170">
        <v>4.804431759589192</v>
      </c>
      <c r="L16" s="170">
        <v>4.79441265076628</v>
      </c>
      <c r="M16" s="170">
        <v>4.784558356563799</v>
      </c>
      <c r="N16" s="170">
        <v>4.774634381169612</v>
      </c>
      <c r="O16" s="170">
        <v>4.764817118448689</v>
      </c>
      <c r="P16" s="170">
        <v>4.755009479183327</v>
      </c>
      <c r="Q16" s="170">
        <v>4.7452442609218535</v>
      </c>
      <c r="R16" s="170">
        <v>4.735501511671112</v>
      </c>
      <c r="S16" s="170">
        <v>4.72576814864287</v>
      </c>
      <c r="T16" s="170">
        <v>4.716019210098949</v>
      </c>
      <c r="U16" s="170">
        <v>4.7062819594412275</v>
      </c>
      <c r="V16" s="170">
        <v>4.696640622458139</v>
      </c>
      <c r="W16" s="170">
        <v>4.6869406809122305</v>
      </c>
      <c r="X16" s="170">
        <v>4.677223147430929</v>
      </c>
      <c r="Y16" s="170">
        <v>4.657699359746583</v>
      </c>
      <c r="Z16" s="170">
        <v>4.6577326878137395</v>
      </c>
      <c r="AA16" s="170">
        <v>4.648013988366537</v>
      </c>
      <c r="AB16" s="170">
        <v>4.63828182504316</v>
      </c>
      <c r="AC16" s="170">
        <v>4.628520312503132</v>
      </c>
      <c r="AD16" s="170">
        <v>4.618733611504015</v>
      </c>
      <c r="AE16" s="170">
        <v>4.608989436874538</v>
      </c>
      <c r="AF16" s="170">
        <v>4.589699376540288</v>
      </c>
      <c r="AG16" s="170">
        <v>4.589313767664215</v>
      </c>
      <c r="AH16" s="170">
        <v>4.5795366686729215</v>
      </c>
      <c r="AI16" s="170">
        <v>4.063117196657022</v>
      </c>
      <c r="AJ16" s="170">
        <v>4.059200145963623</v>
      </c>
      <c r="AK16" s="170">
        <v>4.149670646114389</v>
      </c>
      <c r="AL16" s="170">
        <v>4.172819278535578</v>
      </c>
      <c r="AM16" s="170">
        <v>4.25657003234205</v>
      </c>
      <c r="AN16" s="170">
        <v>4.211020809157989</v>
      </c>
      <c r="AO16" s="170">
        <v>4.509829760993701</v>
      </c>
      <c r="AP16" s="170">
        <v>4.498584785637919</v>
      </c>
      <c r="AQ16" s="170">
        <v>4.489585523060435</v>
      </c>
      <c r="AR16" s="170">
        <v>4.479584489585224</v>
      </c>
      <c r="AS16" s="170">
        <v>4.469373306113741</v>
      </c>
      <c r="AT16" s="170">
        <v>4.451568604624264</v>
      </c>
      <c r="AU16" s="170">
        <v>4.447916993496402</v>
      </c>
      <c r="AV16" s="170">
        <v>4.438626295289783</v>
      </c>
      <c r="AW16" s="170">
        <v>4.427884814011467</v>
      </c>
      <c r="AX16" s="170">
        <v>4.417539643165671</v>
      </c>
      <c r="AY16" s="171"/>
      <c r="AZ16" s="171"/>
      <c r="BA16" s="171"/>
      <c r="BB16" s="171"/>
      <c r="BC16" s="171"/>
      <c r="BD16" s="171"/>
      <c r="BE16" s="171"/>
      <c r="BF16" s="171"/>
    </row>
    <row r="17" spans="1:58" ht="15.75">
      <c r="A17" s="167">
        <v>3</v>
      </c>
      <c r="B17" s="170">
        <v>4.618679499011502</v>
      </c>
      <c r="C17" s="170">
        <v>4.902263099939156</v>
      </c>
      <c r="D17" s="170">
        <v>4.890496825136182</v>
      </c>
      <c r="E17" s="170">
        <v>4.876668685071479</v>
      </c>
      <c r="F17" s="170">
        <v>4.866162260077035</v>
      </c>
      <c r="G17" s="170">
        <v>4.8560483048810505</v>
      </c>
      <c r="H17" s="170">
        <v>4.84138648889981</v>
      </c>
      <c r="I17" s="170">
        <v>4.831318405651208</v>
      </c>
      <c r="J17" s="170">
        <v>4.820912395405511</v>
      </c>
      <c r="K17" s="170">
        <v>4.810873442481953</v>
      </c>
      <c r="L17" s="170">
        <v>4.800914320354649</v>
      </c>
      <c r="M17" s="170">
        <v>4.791102572310099</v>
      </c>
      <c r="N17" s="170">
        <v>4.781069934880282</v>
      </c>
      <c r="O17" s="170">
        <v>4.771266155828317</v>
      </c>
      <c r="P17" s="170">
        <v>4.761614795195862</v>
      </c>
      <c r="Q17" s="170">
        <v>4.751923958700358</v>
      </c>
      <c r="R17" s="170">
        <v>3.9489226661160144</v>
      </c>
      <c r="S17" s="170">
        <v>4.732549482921082</v>
      </c>
      <c r="T17" s="170">
        <v>4.722870125021969</v>
      </c>
      <c r="U17" s="170">
        <v>4.713250565791517</v>
      </c>
      <c r="V17" s="170">
        <v>4.694288518754641</v>
      </c>
      <c r="W17" s="170">
        <v>4.694045260139874</v>
      </c>
      <c r="X17" s="170">
        <v>4.665077380517419</v>
      </c>
      <c r="Y17" s="170">
        <v>4.674816220145932</v>
      </c>
      <c r="Z17" s="170">
        <v>4.638042093274917</v>
      </c>
      <c r="AA17" s="170">
        <v>4.655602965340726</v>
      </c>
      <c r="AB17" s="170">
        <v>4.646009068749278</v>
      </c>
      <c r="AC17" s="170">
        <v>4.636355256080322</v>
      </c>
      <c r="AD17" s="170">
        <v>4.61724119859463</v>
      </c>
      <c r="AE17" s="170">
        <v>4.607500873205857</v>
      </c>
      <c r="AF17" s="170">
        <v>4.607499359021723</v>
      </c>
      <c r="AG17" s="170">
        <v>4.202791112679772</v>
      </c>
      <c r="AH17" s="170">
        <v>4.332748220983897</v>
      </c>
      <c r="AI17" s="170">
        <v>4.578667490065229</v>
      </c>
      <c r="AJ17" s="170">
        <v>4.569140023849486</v>
      </c>
      <c r="AK17" s="170">
        <v>4.543136976895786</v>
      </c>
      <c r="AL17" s="170">
        <v>4.538879337736984</v>
      </c>
      <c r="AM17" s="170">
        <v>4.540286571381227</v>
      </c>
      <c r="AN17" s="170">
        <v>4.530841842657879</v>
      </c>
      <c r="AO17" s="170">
        <v>4.521262787479605</v>
      </c>
      <c r="AP17" s="170">
        <v>4.142583524984493</v>
      </c>
      <c r="AQ17" s="170">
        <v>4.489554382544912</v>
      </c>
      <c r="AR17" s="170">
        <v>4.4916570348584255</v>
      </c>
      <c r="AS17" s="170">
        <v>4.481307311830562</v>
      </c>
      <c r="AT17" s="170">
        <v>4.470736251236878</v>
      </c>
      <c r="AU17" s="170">
        <v>4.460478143238536</v>
      </c>
      <c r="AV17" s="170">
        <v>4.449923682634604</v>
      </c>
      <c r="AW17" s="170">
        <v>4.430221716246826</v>
      </c>
      <c r="AX17" s="170">
        <v>4.420329146176021</v>
      </c>
      <c r="AY17" s="171"/>
      <c r="AZ17" s="171"/>
      <c r="BA17" s="171"/>
      <c r="BB17" s="171"/>
      <c r="BC17" s="171"/>
      <c r="BD17" s="171"/>
      <c r="BE17" s="171"/>
      <c r="BF17" s="171"/>
    </row>
    <row r="18" spans="1:58" ht="15.75">
      <c r="A18" s="167">
        <v>3.2</v>
      </c>
      <c r="B18" s="170">
        <v>4.923901748611102</v>
      </c>
      <c r="C18" s="170">
        <v>4.907854653982532</v>
      </c>
      <c r="D18" s="170">
        <v>4.8963884759345095</v>
      </c>
      <c r="E18" s="170">
        <v>4.882655960510888</v>
      </c>
      <c r="F18" s="170">
        <v>4.872249284053167</v>
      </c>
      <c r="G18" s="170">
        <v>4.861540960986424</v>
      </c>
      <c r="H18" s="170">
        <v>4.84773871478142</v>
      </c>
      <c r="I18" s="170">
        <v>4.837579612248042</v>
      </c>
      <c r="J18" s="170">
        <v>4.827256443037925</v>
      </c>
      <c r="K18" s="170">
        <v>4.817200384785341</v>
      </c>
      <c r="L18" s="170">
        <v>4.8073010945940995</v>
      </c>
      <c r="M18" s="170">
        <v>4.797479393511693</v>
      </c>
      <c r="N18" s="170">
        <v>4.787607964588785</v>
      </c>
      <c r="O18" s="170">
        <v>4.777821386106612</v>
      </c>
      <c r="P18" s="170">
        <v>4.76819321270274</v>
      </c>
      <c r="Q18" s="170">
        <v>4.758517968359974</v>
      </c>
      <c r="R18" s="170">
        <v>4.74882678694055</v>
      </c>
      <c r="S18" s="170">
        <v>4.739220048474683</v>
      </c>
      <c r="T18" s="170">
        <v>4.729712353338915</v>
      </c>
      <c r="U18" s="170">
        <v>4.72012624913246</v>
      </c>
      <c r="V18" s="170">
        <v>4.710539802245821</v>
      </c>
      <c r="W18" s="170">
        <v>4.701058429439573</v>
      </c>
      <c r="X18" s="170">
        <v>4.6915456799082245</v>
      </c>
      <c r="Y18" s="170">
        <v>4.6819820023410825</v>
      </c>
      <c r="Z18" s="170">
        <v>4.672581994591254</v>
      </c>
      <c r="AA18" s="170">
        <v>4.66305449802347</v>
      </c>
      <c r="AB18" s="170">
        <v>4.653584126763664</v>
      </c>
      <c r="AC18" s="170">
        <v>4.644114365059647</v>
      </c>
      <c r="AD18" s="170">
        <v>4.634571522591335</v>
      </c>
      <c r="AE18" s="170">
        <v>4.62516831700339</v>
      </c>
      <c r="AF18" s="170">
        <v>4.61577856871525</v>
      </c>
      <c r="AG18" s="170">
        <v>4.606405093226213</v>
      </c>
      <c r="AH18" s="170">
        <v>4.11876382690298</v>
      </c>
      <c r="AI18" s="170">
        <v>4.587676977871735</v>
      </c>
      <c r="AJ18" s="170">
        <v>4.35517947186365</v>
      </c>
      <c r="AK18" s="170">
        <v>4.568998187948443</v>
      </c>
      <c r="AL18" s="170">
        <v>4.566381870551758</v>
      </c>
      <c r="AM18" s="170">
        <v>4.550277930194484</v>
      </c>
      <c r="AN18" s="170">
        <v>4.54027361208237</v>
      </c>
      <c r="AO18" s="170">
        <v>4.530202603333422</v>
      </c>
      <c r="AP18" s="170">
        <v>4.52001387339831</v>
      </c>
      <c r="AQ18" s="170">
        <v>4.50988827350913</v>
      </c>
      <c r="AR18" s="170">
        <v>4.499689391635454</v>
      </c>
      <c r="AS18" s="170">
        <v>4.489397383692105</v>
      </c>
      <c r="AT18" s="170">
        <v>4.47899827702489</v>
      </c>
      <c r="AU18" s="170">
        <v>4.46871827278916</v>
      </c>
      <c r="AV18" s="170">
        <v>4.458308336051394</v>
      </c>
      <c r="AW18" s="170">
        <v>4.447827267724577</v>
      </c>
      <c r="AX18" s="170">
        <v>4.43742025473614</v>
      </c>
      <c r="AY18" s="171"/>
      <c r="AZ18" s="171"/>
      <c r="BA18" s="171"/>
      <c r="BB18" s="171"/>
      <c r="BC18" s="171"/>
      <c r="BD18" s="171"/>
      <c r="BE18" s="171"/>
      <c r="BF18" s="171"/>
    </row>
    <row r="19" spans="1:58" ht="15.75">
      <c r="A19" s="167">
        <v>3.4000000000000004</v>
      </c>
      <c r="B19" s="170">
        <v>4.925101241652157</v>
      </c>
      <c r="C19" s="170">
        <v>4.913499661518551</v>
      </c>
      <c r="D19" s="170">
        <v>4.902150452449929</v>
      </c>
      <c r="E19" s="170">
        <v>4.888696326620425</v>
      </c>
      <c r="F19" s="170">
        <v>4.878864405258592</v>
      </c>
      <c r="G19" s="170">
        <v>4.8675492063643535</v>
      </c>
      <c r="H19" s="170">
        <v>4.853842731846291</v>
      </c>
      <c r="I19" s="170">
        <v>4.843739831839673</v>
      </c>
      <c r="J19" s="170">
        <v>4.8336102242905765</v>
      </c>
      <c r="K19" s="170">
        <v>4.823539944937121</v>
      </c>
      <c r="L19" s="170">
        <v>4.813650859146538</v>
      </c>
      <c r="M19" s="170">
        <v>4.803774845297519</v>
      </c>
      <c r="N19" s="170">
        <v>4.794110705042002</v>
      </c>
      <c r="O19" s="170">
        <v>4.784365689182879</v>
      </c>
      <c r="P19" s="170">
        <v>4.774689895798671</v>
      </c>
      <c r="Q19" s="170">
        <v>4.76511646815048</v>
      </c>
      <c r="R19" s="170">
        <v>4.755405104478577</v>
      </c>
      <c r="S19" s="170">
        <v>4.745878174186241</v>
      </c>
      <c r="T19" s="170">
        <v>4.736354910083704</v>
      </c>
      <c r="U19" s="170">
        <v>4.726882303610914</v>
      </c>
      <c r="V19" s="170">
        <v>4.717438862359556</v>
      </c>
      <c r="W19" s="170">
        <v>4.707999058507062</v>
      </c>
      <c r="X19" s="170">
        <v>4.698620531904817</v>
      </c>
      <c r="Y19" s="170">
        <v>4.689235296175932</v>
      </c>
      <c r="Z19" s="170">
        <v>4.67982939331826</v>
      </c>
      <c r="AA19" s="170">
        <v>4.670460183661398</v>
      </c>
      <c r="AB19" s="170">
        <v>4.661301055657216</v>
      </c>
      <c r="AC19" s="170">
        <v>4.651750004117097</v>
      </c>
      <c r="AD19" s="170">
        <v>4.642434606955472</v>
      </c>
      <c r="AE19" s="170">
        <v>4.633103961285915</v>
      </c>
      <c r="AF19" s="170">
        <v>4.624236769151349</v>
      </c>
      <c r="AG19" s="170">
        <v>4.614711110538597</v>
      </c>
      <c r="AH19" s="170">
        <v>4.6055992136879365</v>
      </c>
      <c r="AI19" s="170">
        <v>4.59630431207303</v>
      </c>
      <c r="AJ19" s="170">
        <v>4.587288455843449</v>
      </c>
      <c r="AK19" s="170">
        <v>4.577533414716269</v>
      </c>
      <c r="AL19" s="170">
        <v>4.5675684299577854</v>
      </c>
      <c r="AM19" s="170">
        <v>4.5577939251901505</v>
      </c>
      <c r="AN19" s="170">
        <v>4.547771236435018</v>
      </c>
      <c r="AO19" s="170">
        <v>4.537811960833843</v>
      </c>
      <c r="AP19" s="170">
        <v>4.527668032991392</v>
      </c>
      <c r="AQ19" s="170">
        <v>4.517509006878768</v>
      </c>
      <c r="AR19" s="170">
        <v>4.507441531611318</v>
      </c>
      <c r="AS19" s="170">
        <v>4.497225512387738</v>
      </c>
      <c r="AT19" s="170">
        <v>4.486967658787104</v>
      </c>
      <c r="AU19" s="170">
        <v>4.476728193777107</v>
      </c>
      <c r="AV19" s="170">
        <v>4.46641309054241</v>
      </c>
      <c r="AW19" s="170">
        <v>4.456072789534813</v>
      </c>
      <c r="AX19" s="170">
        <v>4.445692552921083</v>
      </c>
      <c r="AY19" s="171"/>
      <c r="AZ19" s="171"/>
      <c r="BA19" s="171"/>
      <c r="BB19" s="171"/>
      <c r="BC19" s="171"/>
      <c r="BD19" s="171"/>
      <c r="BE19" s="171"/>
      <c r="BF19" s="171"/>
    </row>
    <row r="20" spans="1:58" ht="15.75">
      <c r="A20" s="167">
        <v>3.6</v>
      </c>
      <c r="B20" s="170">
        <v>4.930587028953778</v>
      </c>
      <c r="C20" s="170">
        <v>4.91925651399455</v>
      </c>
      <c r="D20" s="170">
        <v>4.907912060055047</v>
      </c>
      <c r="E20" s="170">
        <v>4.894661046913072</v>
      </c>
      <c r="F20" s="170">
        <v>4.884617089356631</v>
      </c>
      <c r="G20" s="170">
        <v>4.873831775263306</v>
      </c>
      <c r="H20" s="170">
        <v>4.860117395285365</v>
      </c>
      <c r="I20" s="170">
        <v>4.850017503398885</v>
      </c>
      <c r="J20" s="170">
        <v>4.8399769001997095</v>
      </c>
      <c r="K20" s="170">
        <v>4.829869420947787</v>
      </c>
      <c r="L20" s="170">
        <v>4.820052959111267</v>
      </c>
      <c r="M20" s="170">
        <v>4.810307526991095</v>
      </c>
      <c r="N20" s="170">
        <v>4.800544723910728</v>
      </c>
      <c r="O20" s="170">
        <v>4.7908931481767825</v>
      </c>
      <c r="P20" s="170">
        <v>4.781149736150595</v>
      </c>
      <c r="Q20" s="170">
        <v>4.771631319275353</v>
      </c>
      <c r="R20" s="170">
        <v>4.762040194216652</v>
      </c>
      <c r="S20" s="170">
        <v>4.752554306001962</v>
      </c>
      <c r="T20" s="170">
        <v>4.74305254146996</v>
      </c>
      <c r="U20" s="170">
        <v>4.733674056604092</v>
      </c>
      <c r="V20" s="170">
        <v>4.724244836076073</v>
      </c>
      <c r="W20" s="170">
        <v>4.715007452458164</v>
      </c>
      <c r="X20" s="170">
        <v>4.705567689216411</v>
      </c>
      <c r="Y20" s="170">
        <v>4.69629119505154</v>
      </c>
      <c r="Z20" s="170">
        <v>4.686967631147103</v>
      </c>
      <c r="AA20" s="170">
        <v>4.677816611445564</v>
      </c>
      <c r="AB20" s="170">
        <v>4.668545528915818</v>
      </c>
      <c r="AC20" s="170">
        <v>4.659378959208716</v>
      </c>
      <c r="AD20" s="170">
        <v>4.650275195223255</v>
      </c>
      <c r="AE20" s="170">
        <v>4.641082130981358</v>
      </c>
      <c r="AF20" s="170">
        <v>4.632252478668683</v>
      </c>
      <c r="AG20" s="170">
        <v>4.623086872118326</v>
      </c>
      <c r="AH20" s="170">
        <v>4.61386402724475</v>
      </c>
      <c r="AI20" s="170">
        <v>4.604089693967053</v>
      </c>
      <c r="AJ20" s="170">
        <v>4.594433051648694</v>
      </c>
      <c r="AK20" s="170">
        <v>4.584640694727702</v>
      </c>
      <c r="AL20" s="170">
        <v>4.574806323211462</v>
      </c>
      <c r="AM20" s="170">
        <v>4.564960294974349</v>
      </c>
      <c r="AN20" s="170">
        <v>4.555014285738373</v>
      </c>
      <c r="AO20" s="170">
        <v>4.545094039432298</v>
      </c>
      <c r="AP20" s="170">
        <v>4.534988241149214</v>
      </c>
      <c r="AQ20" s="170">
        <v>4.525029496302816</v>
      </c>
      <c r="AR20" s="170">
        <v>4.514885433881941</v>
      </c>
      <c r="AS20" s="170">
        <v>4.5048103103193675</v>
      </c>
      <c r="AT20" s="170">
        <v>4.494632370439285</v>
      </c>
      <c r="AU20" s="170">
        <v>4.484436104046039</v>
      </c>
      <c r="AV20" s="170">
        <v>4.474193674538272</v>
      </c>
      <c r="AW20" s="170">
        <v>4.463909297870569</v>
      </c>
      <c r="AX20" s="170">
        <v>4.4537019487286695</v>
      </c>
      <c r="AY20" s="171"/>
      <c r="AZ20" s="171"/>
      <c r="BA20" s="171"/>
      <c r="BB20" s="171"/>
      <c r="BC20" s="171"/>
      <c r="BD20" s="171"/>
      <c r="BE20" s="171"/>
      <c r="BF20" s="171"/>
    </row>
    <row r="21" spans="1:58" ht="15.75">
      <c r="A21" s="167">
        <v>3.8000000000000003</v>
      </c>
      <c r="B21" s="170">
        <v>4.9359600681179305</v>
      </c>
      <c r="C21" s="170">
        <v>4.924692075712188</v>
      </c>
      <c r="D21" s="170">
        <v>4.913779762459258</v>
      </c>
      <c r="E21" s="170">
        <v>4.9006273495993</v>
      </c>
      <c r="F21" s="170">
        <v>4.8905169354590345</v>
      </c>
      <c r="G21" s="170">
        <v>4.879689454158333</v>
      </c>
      <c r="H21" s="170">
        <v>4.866268251847035</v>
      </c>
      <c r="I21" s="170">
        <v>4.856190599155919</v>
      </c>
      <c r="J21" s="170">
        <v>4.846233919521783</v>
      </c>
      <c r="K21" s="170">
        <v>4.836156897200272</v>
      </c>
      <c r="L21" s="170">
        <v>4.826299617145011</v>
      </c>
      <c r="M21" s="170">
        <v>4.816595061770153</v>
      </c>
      <c r="N21" s="170">
        <v>4.806898740474953</v>
      </c>
      <c r="O21" s="170">
        <v>4.797127207841073</v>
      </c>
      <c r="P21" s="170">
        <v>4.787585985795693</v>
      </c>
      <c r="Q21" s="170">
        <v>4.778123615764304</v>
      </c>
      <c r="R21" s="170">
        <v>4.768602475803544</v>
      </c>
      <c r="S21" s="170">
        <v>4.75907748663412</v>
      </c>
      <c r="T21" s="170">
        <v>4.74978576025194</v>
      </c>
      <c r="U21" s="170">
        <v>4.74038216090483</v>
      </c>
      <c r="V21" s="170">
        <v>4.731091872472727</v>
      </c>
      <c r="W21" s="170">
        <v>4.721839249507207</v>
      </c>
      <c r="X21" s="170">
        <v>4.71273742679019</v>
      </c>
      <c r="Y21" s="170">
        <v>4.703397291102802</v>
      </c>
      <c r="Z21" s="170">
        <v>4.694241415391127</v>
      </c>
      <c r="AA21" s="170">
        <v>4.685134480050925</v>
      </c>
      <c r="AB21" s="170">
        <v>4.676173912845212</v>
      </c>
      <c r="AC21" s="170">
        <v>4.667257540106263</v>
      </c>
      <c r="AD21" s="170">
        <v>4.658059538004565</v>
      </c>
      <c r="AE21" s="170">
        <v>4.649054269474574</v>
      </c>
      <c r="AF21" s="170">
        <v>4.640092812837024</v>
      </c>
      <c r="AG21" s="170">
        <v>4.63035853330656</v>
      </c>
      <c r="AH21" s="170">
        <v>4.62084345269196</v>
      </c>
      <c r="AI21" s="170">
        <v>4.61119786505821</v>
      </c>
      <c r="AJ21" s="170">
        <v>4.601453963210929</v>
      </c>
      <c r="AK21" s="170">
        <v>4.5916678125967385</v>
      </c>
      <c r="AL21" s="170">
        <v>4.581915258344822</v>
      </c>
      <c r="AM21" s="170">
        <v>4.572089082920117</v>
      </c>
      <c r="AN21" s="170">
        <v>4.562234504327521</v>
      </c>
      <c r="AO21" s="170">
        <v>4.552299329442385</v>
      </c>
      <c r="AP21" s="170">
        <v>4.542308374884918</v>
      </c>
      <c r="AQ21" s="170">
        <v>4.532389075764639</v>
      </c>
      <c r="AR21" s="170">
        <v>4.522379682967915</v>
      </c>
      <c r="AS21" s="170">
        <v>4.512335094998917</v>
      </c>
      <c r="AT21" s="170">
        <v>4.502107323262084</v>
      </c>
      <c r="AU21" s="170">
        <v>4.492129236891248</v>
      </c>
      <c r="AV21" s="170">
        <v>4.4819851194064535</v>
      </c>
      <c r="AW21" s="170">
        <v>4.471823798612376</v>
      </c>
      <c r="AX21" s="170">
        <v>4.46165026954441</v>
      </c>
      <c r="AY21" s="171"/>
      <c r="AZ21" s="171"/>
      <c r="BA21" s="171"/>
      <c r="BB21" s="171"/>
      <c r="BC21" s="171"/>
      <c r="BD21" s="171"/>
      <c r="BE21" s="171"/>
      <c r="BF21" s="171"/>
    </row>
    <row r="22" spans="1:58" ht="15.75">
      <c r="A22" s="167">
        <v>4</v>
      </c>
      <c r="B22" s="170">
        <v>4.764447966497352</v>
      </c>
      <c r="C22" s="170">
        <v>4.930436460526013</v>
      </c>
      <c r="D22" s="170">
        <v>4.9194611952710625</v>
      </c>
      <c r="E22" s="170">
        <v>4.906611932069989</v>
      </c>
      <c r="F22" s="170">
        <v>4.896552685613299</v>
      </c>
      <c r="G22" s="170">
        <v>4.8860025165878</v>
      </c>
      <c r="H22" s="170">
        <v>4.872452623440136</v>
      </c>
      <c r="I22" s="170">
        <v>4.862364392365372</v>
      </c>
      <c r="J22" s="170">
        <v>4.852300490791616</v>
      </c>
      <c r="K22" s="170">
        <v>4.842261583394427</v>
      </c>
      <c r="L22" s="170">
        <v>4.832594056678406</v>
      </c>
      <c r="M22" s="170">
        <v>4.822937967137048</v>
      </c>
      <c r="N22" s="170">
        <v>4.813201986705233</v>
      </c>
      <c r="O22" s="170">
        <v>4.803679393804874</v>
      </c>
      <c r="P22" s="170">
        <v>4.794007218825516</v>
      </c>
      <c r="Q22" s="170">
        <v>4.784650088394991</v>
      </c>
      <c r="R22" s="170">
        <v>4.7750984682895705</v>
      </c>
      <c r="S22" s="170">
        <v>4.7658014394479435</v>
      </c>
      <c r="T22" s="170">
        <v>4.756353929382813</v>
      </c>
      <c r="U22" s="170">
        <v>4.7471768718416065</v>
      </c>
      <c r="V22" s="170">
        <v>4.737912617775212</v>
      </c>
      <c r="W22" s="170">
        <v>4.7288317427379685</v>
      </c>
      <c r="X22" s="170">
        <v>4.71979490203805</v>
      </c>
      <c r="Y22" s="170">
        <v>4.710485936983741</v>
      </c>
      <c r="Z22" s="170">
        <v>4.701547250487505</v>
      </c>
      <c r="AA22" s="170">
        <v>4.692514137149334</v>
      </c>
      <c r="AB22" s="170">
        <v>4.706981169390165</v>
      </c>
      <c r="AC22" s="170">
        <v>4.674750375668505</v>
      </c>
      <c r="AD22" s="170">
        <v>4.688309437338098</v>
      </c>
      <c r="AE22" s="170">
        <v>4.6563246692176525</v>
      </c>
      <c r="AF22" s="170">
        <v>4.69421375772477</v>
      </c>
      <c r="AG22" s="170">
        <v>4.6371688957664015</v>
      </c>
      <c r="AH22" s="170">
        <v>4.7259336265140774</v>
      </c>
      <c r="AI22" s="170">
        <v>4.618038456213359</v>
      </c>
      <c r="AJ22" s="170">
        <v>4.608274618473366</v>
      </c>
      <c r="AK22" s="170">
        <v>4.5986167218681056</v>
      </c>
      <c r="AL22" s="170">
        <v>4.588780126373824</v>
      </c>
      <c r="AM22" s="170">
        <v>4.579015877780006</v>
      </c>
      <c r="AN22" s="170">
        <v>4.569164928762627</v>
      </c>
      <c r="AO22" s="170">
        <v>4.559321462536457</v>
      </c>
      <c r="AP22" s="170">
        <v>4.160758541323625</v>
      </c>
      <c r="AQ22" s="170">
        <v>4.539499716158498</v>
      </c>
      <c r="AR22" s="170">
        <v>4.529493213626236</v>
      </c>
      <c r="AS22" s="170">
        <v>4.519564639207877</v>
      </c>
      <c r="AT22" s="170">
        <v>4.509513488615521</v>
      </c>
      <c r="AU22" s="170">
        <v>4.499448397231838</v>
      </c>
      <c r="AV22" s="170">
        <v>4.489362619108389</v>
      </c>
      <c r="AW22" s="170">
        <v>4.479363592780741</v>
      </c>
      <c r="AX22" s="170">
        <v>4.4692207601508835</v>
      </c>
      <c r="AY22" s="171"/>
      <c r="AZ22" s="171"/>
      <c r="BA22" s="171"/>
      <c r="BB22" s="171"/>
      <c r="BC22" s="171"/>
      <c r="BD22" s="171"/>
      <c r="BE22" s="171"/>
      <c r="BF22" s="171"/>
    </row>
    <row r="23" spans="1:58" ht="15.75">
      <c r="A23" s="167">
        <v>4.2</v>
      </c>
      <c r="B23" s="170">
        <v>4.94931689200813</v>
      </c>
      <c r="C23" s="170">
        <v>4.935974669831464</v>
      </c>
      <c r="D23" s="170">
        <v>4.925279252630093</v>
      </c>
      <c r="E23" s="170">
        <v>4.912603697633813</v>
      </c>
      <c r="F23" s="170">
        <v>4.902609657088238</v>
      </c>
      <c r="G23" s="170">
        <v>4.892337003264665</v>
      </c>
      <c r="H23" s="170">
        <v>4.878561738590337</v>
      </c>
      <c r="I23" s="170">
        <v>4.868725486370338</v>
      </c>
      <c r="J23" s="170">
        <v>4.85859526326006</v>
      </c>
      <c r="K23" s="170">
        <v>4.848510880598905</v>
      </c>
      <c r="L23" s="170">
        <v>4.8388471599383545</v>
      </c>
      <c r="M23" s="170">
        <v>4.829224896387789</v>
      </c>
      <c r="N23" s="170">
        <v>4.819404628507316</v>
      </c>
      <c r="O23" s="170">
        <v>4.809957949895567</v>
      </c>
      <c r="P23" s="170">
        <v>4.80035182255782</v>
      </c>
      <c r="Q23" s="170">
        <v>4.7910244829104744</v>
      </c>
      <c r="R23" s="170">
        <v>4.781654319063518</v>
      </c>
      <c r="S23" s="170">
        <v>4.77224157697033</v>
      </c>
      <c r="T23" s="170">
        <v>4.763074766739054</v>
      </c>
      <c r="U23" s="170">
        <v>4.753886526090601</v>
      </c>
      <c r="V23" s="170">
        <v>4.74476954876922</v>
      </c>
      <c r="W23" s="170">
        <v>4.735632079248421</v>
      </c>
      <c r="X23" s="170">
        <v>4.726797712847779</v>
      </c>
      <c r="Y23" s="170">
        <v>4.717697280614996</v>
      </c>
      <c r="Z23" s="170">
        <v>4.708968374442917</v>
      </c>
      <c r="AA23" s="170">
        <v>4.699938914459595</v>
      </c>
      <c r="AB23" s="170">
        <v>4.691180304344249</v>
      </c>
      <c r="AC23" s="170">
        <v>4.681896873637948</v>
      </c>
      <c r="AD23" s="170">
        <v>4.672575032239987</v>
      </c>
      <c r="AE23" s="170">
        <v>4.663060839710846</v>
      </c>
      <c r="AF23" s="170">
        <v>4.65363003536432</v>
      </c>
      <c r="AG23" s="170">
        <v>4.644056269389018</v>
      </c>
      <c r="AH23" s="170">
        <v>4.6344655798551715</v>
      </c>
      <c r="AI23" s="170">
        <v>4.62472798533958</v>
      </c>
      <c r="AJ23" s="170">
        <v>4.615061939176665</v>
      </c>
      <c r="AK23" s="170">
        <v>4.605336730015913</v>
      </c>
      <c r="AL23" s="170">
        <v>4.595643110977534</v>
      </c>
      <c r="AM23" s="170">
        <v>4.585915008228642</v>
      </c>
      <c r="AN23" s="170">
        <v>4.576078890536252</v>
      </c>
      <c r="AO23" s="170">
        <v>4.566275570656751</v>
      </c>
      <c r="AP23" s="170">
        <v>4.556365042920212</v>
      </c>
      <c r="AQ23" s="170">
        <v>4.546539363081231</v>
      </c>
      <c r="AR23" s="170">
        <v>4.53666156622592</v>
      </c>
      <c r="AS23" s="170">
        <v>4.526700215446779</v>
      </c>
      <c r="AT23" s="170">
        <v>4.516703556626129</v>
      </c>
      <c r="AU23" s="170">
        <v>4.506777505654362</v>
      </c>
      <c r="AV23" s="170">
        <v>4.49678276469367</v>
      </c>
      <c r="AW23" s="170">
        <v>4.486771983113501</v>
      </c>
      <c r="AX23" s="170">
        <v>4.476586514305644</v>
      </c>
      <c r="AY23" s="171"/>
      <c r="AZ23" s="171"/>
      <c r="BA23" s="171"/>
      <c r="BB23" s="171"/>
      <c r="BC23" s="171"/>
      <c r="BD23" s="171"/>
      <c r="BE23" s="171"/>
      <c r="BF23" s="171"/>
    </row>
    <row r="24" spans="1:58" ht="15.75">
      <c r="A24" s="167">
        <v>4.4</v>
      </c>
      <c r="B24" s="170">
        <v>4.954003385925573</v>
      </c>
      <c r="C24" s="170">
        <v>4.941638613803195</v>
      </c>
      <c r="D24" s="170">
        <v>4.931034772426775</v>
      </c>
      <c r="E24" s="170">
        <v>4.918443432186746</v>
      </c>
      <c r="F24" s="170">
        <v>4.908374818549516</v>
      </c>
      <c r="G24" s="170">
        <v>4.898459714578696</v>
      </c>
      <c r="H24" s="170">
        <v>4.884780329243832</v>
      </c>
      <c r="I24" s="170">
        <v>4.874771767478443</v>
      </c>
      <c r="J24" s="170">
        <v>4.864679965750985</v>
      </c>
      <c r="K24" s="170">
        <v>4.854812170236935</v>
      </c>
      <c r="L24" s="170">
        <v>4.845072162033549</v>
      </c>
      <c r="M24" s="170">
        <v>4.835459293472998</v>
      </c>
      <c r="N24" s="170">
        <v>4.82577228098566</v>
      </c>
      <c r="O24" s="170">
        <v>4.816236445263592</v>
      </c>
      <c r="P24" s="170">
        <v>4.806782818425217</v>
      </c>
      <c r="Q24" s="170">
        <v>4.797532045304346</v>
      </c>
      <c r="R24" s="170">
        <v>4.788282680326546</v>
      </c>
      <c r="S24" s="170">
        <v>4.778904538862576</v>
      </c>
      <c r="T24" s="170">
        <v>4.769686104516033</v>
      </c>
      <c r="U24" s="170">
        <v>4.760634056943052</v>
      </c>
      <c r="V24" s="170">
        <v>4.751625314729713</v>
      </c>
      <c r="W24" s="170">
        <v>4.7425730173483345</v>
      </c>
      <c r="X24" s="170">
        <v>4.733709467725542</v>
      </c>
      <c r="Y24" s="170">
        <v>4.724893099007259</v>
      </c>
      <c r="Z24" s="170">
        <v>4.7161426762808665</v>
      </c>
      <c r="AA24" s="170">
        <v>4.707192375749979</v>
      </c>
      <c r="AB24" s="170">
        <v>4.6979787020808885</v>
      </c>
      <c r="AC24" s="170">
        <v>4.688500507236193</v>
      </c>
      <c r="AD24" s="170">
        <v>4.679201678016053</v>
      </c>
      <c r="AE24" s="170">
        <v>4.669767758440042</v>
      </c>
      <c r="AF24" s="170">
        <v>4.660227631136797</v>
      </c>
      <c r="AG24" s="170">
        <v>4.650696068943162</v>
      </c>
      <c r="AH24" s="170">
        <v>4.641027551589097</v>
      </c>
      <c r="AI24" s="170">
        <v>4.63142206073357</v>
      </c>
      <c r="AJ24" s="170">
        <v>4.621787495066137</v>
      </c>
      <c r="AK24" s="170">
        <v>4.612099354233412</v>
      </c>
      <c r="AL24" s="170">
        <v>4.602382580202136</v>
      </c>
      <c r="AM24" s="170">
        <v>4.592629542316443</v>
      </c>
      <c r="AN24" s="170">
        <v>4.582869058881213</v>
      </c>
      <c r="AO24" s="170">
        <v>4.5730968916747985</v>
      </c>
      <c r="AP24" s="170">
        <v>4.563214920924319</v>
      </c>
      <c r="AQ24" s="170">
        <v>4.553459906645173</v>
      </c>
      <c r="AR24" s="170">
        <v>4.543601849467082</v>
      </c>
      <c r="AS24" s="170">
        <v>4.533745700043625</v>
      </c>
      <c r="AT24" s="170">
        <v>4.523766719469447</v>
      </c>
      <c r="AU24" s="170">
        <v>4.513917374757543</v>
      </c>
      <c r="AV24" s="170">
        <v>4.503965102367622</v>
      </c>
      <c r="AW24" s="170">
        <v>4.4939757170951875</v>
      </c>
      <c r="AX24" s="170">
        <v>4.483942036176328</v>
      </c>
      <c r="AY24" s="171"/>
      <c r="AZ24" s="171"/>
      <c r="BA24" s="171"/>
      <c r="BB24" s="171"/>
      <c r="BC24" s="171"/>
      <c r="BD24" s="171"/>
      <c r="BE24" s="171"/>
      <c r="BF24" s="171"/>
    </row>
    <row r="25" spans="1:58" ht="15.75">
      <c r="A25" s="167">
        <v>4.6000000000000005</v>
      </c>
      <c r="B25" s="170">
        <v>4.959531687288938</v>
      </c>
      <c r="C25" s="170">
        <v>4.947331550622145</v>
      </c>
      <c r="D25" s="170">
        <v>4.936795283604541</v>
      </c>
      <c r="E25" s="170">
        <v>4.924346004818614</v>
      </c>
      <c r="F25" s="170">
        <v>4.914443212247364</v>
      </c>
      <c r="G25" s="170">
        <v>4.904417141600887</v>
      </c>
      <c r="H25" s="170">
        <v>4.8908250410615</v>
      </c>
      <c r="I25" s="170">
        <v>4.880856051692168</v>
      </c>
      <c r="J25" s="170">
        <v>4.870788363372143</v>
      </c>
      <c r="K25" s="170">
        <v>4.860908182112472</v>
      </c>
      <c r="L25" s="170">
        <v>4.8512730716845525</v>
      </c>
      <c r="M25" s="170">
        <v>4.841764031455492</v>
      </c>
      <c r="N25" s="170">
        <v>4.832174611703749</v>
      </c>
      <c r="O25" s="170">
        <v>4.822673990625505</v>
      </c>
      <c r="P25" s="170">
        <v>4.813203455487275</v>
      </c>
      <c r="Q25" s="170">
        <v>4.803997191926829</v>
      </c>
      <c r="R25" s="170">
        <v>4.794728944008839</v>
      </c>
      <c r="S25" s="170">
        <v>4.785548899867722</v>
      </c>
      <c r="T25" s="170">
        <v>4.776401610702607</v>
      </c>
      <c r="U25" s="170">
        <v>4.767408293771946</v>
      </c>
      <c r="V25" s="170">
        <v>4.758471463966801</v>
      </c>
      <c r="W25" s="170">
        <v>4.749606258101728</v>
      </c>
      <c r="X25" s="170">
        <v>4.740911937109205</v>
      </c>
      <c r="Y25" s="170">
        <v>4.731862000546138</v>
      </c>
      <c r="Z25" s="170">
        <v>4.723074467309665</v>
      </c>
      <c r="AA25" s="170">
        <v>4.713730703584819</v>
      </c>
      <c r="AB25" s="170">
        <v>4.704354993783855</v>
      </c>
      <c r="AC25" s="170">
        <v>4.695209042761864</v>
      </c>
      <c r="AD25" s="170">
        <v>4.685757172449305</v>
      </c>
      <c r="AE25" s="170">
        <v>4.676254761148792</v>
      </c>
      <c r="AF25" s="170">
        <v>4.66673230661367</v>
      </c>
      <c r="AG25" s="170">
        <v>4.657156797648255</v>
      </c>
      <c r="AH25" s="170">
        <v>4.647553932352413</v>
      </c>
      <c r="AI25" s="170">
        <v>4.637959106802663</v>
      </c>
      <c r="AJ25" s="170">
        <v>4.628296843691015</v>
      </c>
      <c r="AK25" s="170">
        <v>4.618674039764564</v>
      </c>
      <c r="AL25" s="170">
        <v>4.608925431158173</v>
      </c>
      <c r="AM25" s="170">
        <v>4.5992819288722115</v>
      </c>
      <c r="AN25" s="170">
        <v>4.589576260245599</v>
      </c>
      <c r="AO25" s="170">
        <v>4.579792130520099</v>
      </c>
      <c r="AP25" s="170">
        <v>4.570061841604665</v>
      </c>
      <c r="AQ25" s="170">
        <v>4.56028626123619</v>
      </c>
      <c r="AR25" s="170">
        <v>4.550470250613923</v>
      </c>
      <c r="AS25" s="170">
        <v>4.540628417670387</v>
      </c>
      <c r="AT25" s="170">
        <v>4.530777460907298</v>
      </c>
      <c r="AU25" s="170">
        <v>4.520918691454399</v>
      </c>
      <c r="AV25" s="170">
        <v>4.511031787090368</v>
      </c>
      <c r="AW25" s="170">
        <v>4.501095103862468</v>
      </c>
      <c r="AX25" s="170">
        <v>4.49113666586979</v>
      </c>
      <c r="AY25" s="171"/>
      <c r="AZ25" s="171"/>
      <c r="BA25" s="171"/>
      <c r="BB25" s="171"/>
      <c r="BC25" s="171"/>
      <c r="BD25" s="171"/>
      <c r="BE25" s="171"/>
      <c r="BF25" s="171"/>
    </row>
    <row r="26" spans="1:58" ht="15.75">
      <c r="A26" s="167">
        <v>4.800000000000001</v>
      </c>
      <c r="B26" s="170">
        <v>4.96434966594293</v>
      </c>
      <c r="C26" s="170">
        <v>4.952983761302201</v>
      </c>
      <c r="D26" s="170">
        <v>4.942442681738503</v>
      </c>
      <c r="E26" s="170">
        <v>4.930220388940479</v>
      </c>
      <c r="F26" s="170">
        <v>4.920657071378546</v>
      </c>
      <c r="G26" s="170">
        <v>4.910389360017634</v>
      </c>
      <c r="H26" s="170">
        <v>4.8969248817031215</v>
      </c>
      <c r="I26" s="170">
        <v>4.886997294673438</v>
      </c>
      <c r="J26" s="170">
        <v>4.876928283819813</v>
      </c>
      <c r="K26" s="170">
        <v>4.866966975778518</v>
      </c>
      <c r="L26" s="170">
        <v>4.857472306223054</v>
      </c>
      <c r="M26" s="170">
        <v>4.847983176496431</v>
      </c>
      <c r="N26" s="170">
        <v>4.838372424352089</v>
      </c>
      <c r="O26" s="170">
        <v>4.828955446126727</v>
      </c>
      <c r="P26" s="170">
        <v>4.819559377755344</v>
      </c>
      <c r="Q26" s="170">
        <v>4.810418396493202</v>
      </c>
      <c r="R26" s="170">
        <v>4.801380060474346</v>
      </c>
      <c r="S26" s="170">
        <v>4.792169965416311</v>
      </c>
      <c r="T26" s="170">
        <v>4.783105487327638</v>
      </c>
      <c r="U26" s="170">
        <v>4.774273565279341</v>
      </c>
      <c r="V26" s="170">
        <v>4.765418741881144</v>
      </c>
      <c r="W26" s="170">
        <v>4.756721341486557</v>
      </c>
      <c r="X26" s="170">
        <v>4.747897418918161</v>
      </c>
      <c r="Y26" s="170">
        <v>4.738694765943815</v>
      </c>
      <c r="Z26" s="170">
        <v>4.729457764944105</v>
      </c>
      <c r="AA26" s="170">
        <v>4.720299986046939</v>
      </c>
      <c r="AB26" s="170">
        <v>4.711003115721929</v>
      </c>
      <c r="AC26" s="170">
        <v>4.70162435991517</v>
      </c>
      <c r="AD26" s="170">
        <v>4.692186117721596</v>
      </c>
      <c r="AE26" s="170">
        <v>4.682696332033995</v>
      </c>
      <c r="AF26" s="170">
        <v>4.67317975261252</v>
      </c>
      <c r="AG26" s="170">
        <v>4.6635861568003465</v>
      </c>
      <c r="AH26" s="170">
        <v>4.654016936756632</v>
      </c>
      <c r="AI26" s="170">
        <v>4.644431498585616</v>
      </c>
      <c r="AJ26" s="170">
        <v>4.634787764063071</v>
      </c>
      <c r="AK26" s="170">
        <v>4.625155969660209</v>
      </c>
      <c r="AL26" s="170">
        <v>4.615496243582116</v>
      </c>
      <c r="AM26" s="170">
        <v>4.6058599619116825</v>
      </c>
      <c r="AN26" s="170">
        <v>4.596166039034444</v>
      </c>
      <c r="AO26" s="170">
        <v>4.5864997759227615</v>
      </c>
      <c r="AP26" s="170">
        <v>4.576732538982903</v>
      </c>
      <c r="AQ26" s="170">
        <v>4.566965080318341</v>
      </c>
      <c r="AR26" s="170">
        <v>4.557274825253909</v>
      </c>
      <c r="AS26" s="170">
        <v>4.547464823891322</v>
      </c>
      <c r="AT26" s="170">
        <v>4.537592713266121</v>
      </c>
      <c r="AU26" s="170">
        <v>4.527857558627076</v>
      </c>
      <c r="AV26" s="170">
        <v>4.517932094618439</v>
      </c>
      <c r="AW26" s="170">
        <v>4.508113580467913</v>
      </c>
      <c r="AX26" s="170">
        <v>4.498226723283927</v>
      </c>
      <c r="AY26" s="171"/>
      <c r="AZ26" s="171"/>
      <c r="BA26" s="171"/>
      <c r="BB26" s="171"/>
      <c r="BC26" s="171"/>
      <c r="BD26" s="171"/>
      <c r="BE26" s="171"/>
      <c r="BF26" s="171"/>
    </row>
    <row r="27" spans="1:58" ht="15.75">
      <c r="A27" s="167">
        <v>5</v>
      </c>
      <c r="B27" s="170">
        <v>4.902879698346675</v>
      </c>
      <c r="C27" s="170">
        <v>4.9586761861666195</v>
      </c>
      <c r="D27" s="170">
        <v>4.948231079727582</v>
      </c>
      <c r="E27" s="170">
        <v>4.936134708719118</v>
      </c>
      <c r="F27" s="170">
        <v>4.92627390814699</v>
      </c>
      <c r="G27" s="170">
        <v>4.916268168448938</v>
      </c>
      <c r="H27" s="170">
        <v>4.902848007578378</v>
      </c>
      <c r="I27" s="170">
        <v>4.892938624753922</v>
      </c>
      <c r="J27" s="170">
        <v>4.88308818662566</v>
      </c>
      <c r="K27" s="170">
        <v>4.873245111602644</v>
      </c>
      <c r="L27" s="170">
        <v>4.863614784563837</v>
      </c>
      <c r="M27" s="170">
        <v>4.854190942753869</v>
      </c>
      <c r="N27" s="170">
        <v>4.844735386542549</v>
      </c>
      <c r="O27" s="170">
        <v>4.83523031308375</v>
      </c>
      <c r="P27" s="170">
        <v>4.826004528478636</v>
      </c>
      <c r="Q27" s="170">
        <v>4.816939856791991</v>
      </c>
      <c r="R27" s="170">
        <v>4.807880346786419</v>
      </c>
      <c r="S27" s="170">
        <v>4.798805689218713</v>
      </c>
      <c r="T27" s="170">
        <v>4.789907896191519</v>
      </c>
      <c r="U27" s="170">
        <v>4.7812084027595985</v>
      </c>
      <c r="V27" s="170">
        <v>4.772377040945757</v>
      </c>
      <c r="W27" s="170">
        <v>4.76351813411379</v>
      </c>
      <c r="X27" s="170">
        <v>4.754403647324861</v>
      </c>
      <c r="Y27" s="170">
        <v>4.745085215795443</v>
      </c>
      <c r="Z27" s="170">
        <v>4.736040480375848</v>
      </c>
      <c r="AA27" s="170">
        <v>4.726732072413409</v>
      </c>
      <c r="AB27" s="170">
        <v>4.06432652042129</v>
      </c>
      <c r="AC27" s="170">
        <v>4.708022828370223</v>
      </c>
      <c r="AD27" s="170">
        <v>4.12601501692351</v>
      </c>
      <c r="AE27" s="170">
        <v>4.689062103787623</v>
      </c>
      <c r="AF27" s="170">
        <v>4.350844267330033</v>
      </c>
      <c r="AG27" s="170">
        <v>4.669959192246119</v>
      </c>
      <c r="AH27" s="170">
        <v>4.323952069066538</v>
      </c>
      <c r="AI27" s="170">
        <v>4.650868472886056</v>
      </c>
      <c r="AJ27" s="170">
        <v>4.641263011051742</v>
      </c>
      <c r="AK27" s="170">
        <v>4.631592950036854</v>
      </c>
      <c r="AL27" s="170">
        <v>4.621998439151842</v>
      </c>
      <c r="AM27" s="170">
        <v>4.612362175529167</v>
      </c>
      <c r="AN27" s="170">
        <v>4.602711820628335</v>
      </c>
      <c r="AO27" s="170">
        <v>4.593027759685321</v>
      </c>
      <c r="AP27" s="170">
        <v>4.583308167883355</v>
      </c>
      <c r="AQ27" s="170">
        <v>4.573597763210509</v>
      </c>
      <c r="AR27" s="170">
        <v>4.563880572792799</v>
      </c>
      <c r="AS27" s="170">
        <v>4.554203167210951</v>
      </c>
      <c r="AT27" s="170">
        <v>4.544410197468477</v>
      </c>
      <c r="AU27" s="170">
        <v>4.534586482101687</v>
      </c>
      <c r="AV27" s="170">
        <v>4.524816830613981</v>
      </c>
      <c r="AW27" s="170">
        <v>4.514992776271518</v>
      </c>
      <c r="AX27" s="170">
        <v>4.5051633914442135</v>
      </c>
      <c r="AY27" s="171"/>
      <c r="AZ27" s="171"/>
      <c r="BA27" s="171"/>
      <c r="BB27" s="171"/>
      <c r="BC27" s="171"/>
      <c r="BD27" s="171"/>
      <c r="BE27" s="171"/>
      <c r="BF27" s="171"/>
    </row>
    <row r="28" spans="1:58" ht="15.75">
      <c r="A28" s="167">
        <v>5.2</v>
      </c>
      <c r="B28" s="170">
        <v>4.9754856922468615</v>
      </c>
      <c r="C28" s="170">
        <v>4.963105878533042</v>
      </c>
      <c r="D28" s="170">
        <v>4.952913977123578</v>
      </c>
      <c r="E28" s="170">
        <v>4.941861435739158</v>
      </c>
      <c r="F28" s="170">
        <v>4.931987039001589</v>
      </c>
      <c r="G28" s="170">
        <v>4.922379402487778</v>
      </c>
      <c r="H28" s="170">
        <v>4.908894014140111</v>
      </c>
      <c r="I28" s="170">
        <v>4.899060998833922</v>
      </c>
      <c r="J28" s="170">
        <v>4.889070162727345</v>
      </c>
      <c r="K28" s="170">
        <v>4.879349372468663</v>
      </c>
      <c r="L28" s="170">
        <v>4.869716912226711</v>
      </c>
      <c r="M28" s="170">
        <v>4.860386223441042</v>
      </c>
      <c r="N28" s="170">
        <v>4.850960123537996</v>
      </c>
      <c r="O28" s="170">
        <v>4.841672575678521</v>
      </c>
      <c r="P28" s="170">
        <v>4.832447394508055</v>
      </c>
      <c r="Q28" s="170">
        <v>4.823498004200027</v>
      </c>
      <c r="R28" s="170">
        <v>4.814548636423782</v>
      </c>
      <c r="S28" s="170">
        <v>4.805475152669567</v>
      </c>
      <c r="T28" s="170">
        <v>4.796760082175426</v>
      </c>
      <c r="U28" s="170">
        <v>4.787861084781167</v>
      </c>
      <c r="V28" s="170">
        <v>4.778956517680103</v>
      </c>
      <c r="W28" s="170">
        <v>4.769946710243947</v>
      </c>
      <c r="X28" s="170">
        <v>4.760831318119467</v>
      </c>
      <c r="Y28" s="170">
        <v>4.751687101049907</v>
      </c>
      <c r="Z28" s="170">
        <v>4.742309835849015</v>
      </c>
      <c r="AA28" s="170">
        <v>4.733102943848857</v>
      </c>
      <c r="AB28" s="170">
        <v>4.723685442725247</v>
      </c>
      <c r="AC28" s="170">
        <v>4.714325898474835</v>
      </c>
      <c r="AD28" s="170">
        <v>4.704819533764306</v>
      </c>
      <c r="AE28" s="170">
        <v>4.695353389703453</v>
      </c>
      <c r="AF28" s="170">
        <v>4.6858447636464255</v>
      </c>
      <c r="AG28" s="170">
        <v>4.67631874335447</v>
      </c>
      <c r="AH28" s="170">
        <v>4.666791560097154</v>
      </c>
      <c r="AI28" s="170">
        <v>4.657184897783369</v>
      </c>
      <c r="AJ28" s="170">
        <v>4.6476176495218855</v>
      </c>
      <c r="AK28" s="170">
        <v>4.637987663545457</v>
      </c>
      <c r="AL28" s="170">
        <v>4.628415568640572</v>
      </c>
      <c r="AM28" s="170">
        <v>4.618769801537785</v>
      </c>
      <c r="AN28" s="170">
        <v>4.6091230156057605</v>
      </c>
      <c r="AO28" s="170">
        <v>4.5994750253791805</v>
      </c>
      <c r="AP28" s="170">
        <v>4.589812280224708</v>
      </c>
      <c r="AQ28" s="170">
        <v>4.580123197287819</v>
      </c>
      <c r="AR28" s="170">
        <v>4.570470534731445</v>
      </c>
      <c r="AS28" s="170">
        <v>4.560801507534531</v>
      </c>
      <c r="AT28" s="170">
        <v>4.551030274701671</v>
      </c>
      <c r="AU28" s="170">
        <v>4.541284628259869</v>
      </c>
      <c r="AV28" s="170">
        <v>4.53157301480514</v>
      </c>
      <c r="AW28" s="170">
        <v>4.521774489873098</v>
      </c>
      <c r="AX28" s="170">
        <v>4.512008317082008</v>
      </c>
      <c r="AY28" s="171"/>
      <c r="AZ28" s="171"/>
      <c r="BA28" s="171"/>
      <c r="BB28" s="171"/>
      <c r="BC28" s="171"/>
      <c r="BD28" s="171"/>
      <c r="BE28" s="171"/>
      <c r="BF28" s="171"/>
    </row>
    <row r="29" spans="1:58" ht="15.75">
      <c r="A29" s="167">
        <v>5.4</v>
      </c>
      <c r="B29" s="170">
        <v>4.980715236825502</v>
      </c>
      <c r="C29" s="170">
        <v>4.969006716833775</v>
      </c>
      <c r="D29" s="170">
        <v>4.958171842850636</v>
      </c>
      <c r="E29" s="170">
        <v>4.948370887502741</v>
      </c>
      <c r="F29" s="170">
        <v>4.938568688269912</v>
      </c>
      <c r="G29" s="170">
        <v>4.928709477844413</v>
      </c>
      <c r="H29" s="170">
        <v>4.914883237210437</v>
      </c>
      <c r="I29" s="170">
        <v>4.905194156915234</v>
      </c>
      <c r="J29" s="170">
        <v>4.895168448037285</v>
      </c>
      <c r="K29" s="170">
        <v>4.885471943629267</v>
      </c>
      <c r="L29" s="170">
        <v>4.875755577693604</v>
      </c>
      <c r="M29" s="170">
        <v>4.866601537273977</v>
      </c>
      <c r="N29" s="170">
        <v>4.857595318267431</v>
      </c>
      <c r="O29" s="170">
        <v>4.848138595580093</v>
      </c>
      <c r="P29" s="170">
        <v>4.838919596618676</v>
      </c>
      <c r="Q29" s="170">
        <v>4.829998670762103</v>
      </c>
      <c r="R29" s="170">
        <v>4.821051236467232</v>
      </c>
      <c r="S29" s="170">
        <v>4.812176749293061</v>
      </c>
      <c r="T29" s="170">
        <v>4.803364927270404</v>
      </c>
      <c r="U29" s="170">
        <v>4.794397758145577</v>
      </c>
      <c r="V29" s="170">
        <v>4.785404092850588</v>
      </c>
      <c r="W29" s="170">
        <v>4.776368905123456</v>
      </c>
      <c r="X29" s="170">
        <v>4.767241237636203</v>
      </c>
      <c r="Y29" s="170">
        <v>4.75793665757558</v>
      </c>
      <c r="Z29" s="170">
        <v>4.748733018738475</v>
      </c>
      <c r="AA29" s="170">
        <v>4.739363292711355</v>
      </c>
      <c r="AB29" s="170">
        <v>4.730029900366629</v>
      </c>
      <c r="AC29" s="170">
        <v>4.720463603351132</v>
      </c>
      <c r="AD29" s="170">
        <v>4.7110617296369055</v>
      </c>
      <c r="AE29" s="170">
        <v>4.701563918545517</v>
      </c>
      <c r="AF29" s="170">
        <v>4.692117607747218</v>
      </c>
      <c r="AG29" s="170">
        <v>4.682547609049044</v>
      </c>
      <c r="AH29" s="170">
        <v>4.673027717230966</v>
      </c>
      <c r="AI29" s="170">
        <v>4.663493843671437</v>
      </c>
      <c r="AJ29" s="170">
        <v>4.6539087158100925</v>
      </c>
      <c r="AK29" s="170">
        <v>4.6442960509422235</v>
      </c>
      <c r="AL29" s="170">
        <v>4.6347472786995</v>
      </c>
      <c r="AM29" s="170">
        <v>4.625108034945268</v>
      </c>
      <c r="AN29" s="170">
        <v>4.615545691692996</v>
      </c>
      <c r="AO29" s="170">
        <v>4.605904847640623</v>
      </c>
      <c r="AP29" s="170">
        <v>4.596269029460021</v>
      </c>
      <c r="AQ29" s="170">
        <v>4.586659614150611</v>
      </c>
      <c r="AR29" s="170">
        <v>4.5769944457041944</v>
      </c>
      <c r="AS29" s="170">
        <v>4.567268047338088</v>
      </c>
      <c r="AT29" s="170">
        <v>4.55759091821735</v>
      </c>
      <c r="AU29" s="170">
        <v>4.547900045673495</v>
      </c>
      <c r="AV29" s="170">
        <v>4.538231133970963</v>
      </c>
      <c r="AW29" s="170">
        <v>4.528467781796811</v>
      </c>
      <c r="AX29" s="170">
        <v>4.518661891610952</v>
      </c>
      <c r="AY29" s="171"/>
      <c r="AZ29" s="171"/>
      <c r="BA29" s="171"/>
      <c r="BB29" s="171"/>
      <c r="BC29" s="171"/>
      <c r="BD29" s="171"/>
      <c r="BE29" s="171"/>
      <c r="BF29" s="171"/>
    </row>
    <row r="30" spans="1:58" ht="15.75">
      <c r="A30" s="167">
        <v>5.6000000000000005</v>
      </c>
      <c r="B30" s="170">
        <v>4.987429217474073</v>
      </c>
      <c r="C30" s="170">
        <v>4.9768016179208345</v>
      </c>
      <c r="D30" s="170">
        <v>4.965153544665052</v>
      </c>
      <c r="E30" s="170">
        <v>4.953462332777614</v>
      </c>
      <c r="F30" s="170">
        <v>4.9436673783288825</v>
      </c>
      <c r="G30" s="170">
        <v>4.933973316416313</v>
      </c>
      <c r="H30" s="170">
        <v>4.920794056690947</v>
      </c>
      <c r="I30" s="170">
        <v>4.911119474871648</v>
      </c>
      <c r="J30" s="170">
        <v>4.901064872978182</v>
      </c>
      <c r="K30" s="170">
        <v>4.891663647649141</v>
      </c>
      <c r="L30" s="170">
        <v>4.882411501251183</v>
      </c>
      <c r="M30" s="170">
        <v>4.872955300230937</v>
      </c>
      <c r="N30" s="170">
        <v>4.863794374492525</v>
      </c>
      <c r="O30" s="170">
        <v>4.854633330948748</v>
      </c>
      <c r="P30" s="170">
        <v>4.8454632675018345</v>
      </c>
      <c r="Q30" s="170">
        <v>4.836520129775511</v>
      </c>
      <c r="R30" s="170">
        <v>4.827661121325466</v>
      </c>
      <c r="S30" s="170">
        <v>4.818747045157814</v>
      </c>
      <c r="T30" s="170">
        <v>4.809800939262708</v>
      </c>
      <c r="U30" s="170">
        <v>4.800880710834981</v>
      </c>
      <c r="V30" s="170">
        <v>4.791858308684846</v>
      </c>
      <c r="W30" s="170">
        <v>4.782720752727479</v>
      </c>
      <c r="X30" s="170">
        <v>4.773494144283997</v>
      </c>
      <c r="Y30" s="170">
        <v>4.764188131573361</v>
      </c>
      <c r="Z30" s="170">
        <v>4.754945997186279</v>
      </c>
      <c r="AA30" s="170">
        <v>4.745542998136063</v>
      </c>
      <c r="AB30" s="170">
        <v>4.736119587421206</v>
      </c>
      <c r="AC30" s="170">
        <v>4.726707505881064</v>
      </c>
      <c r="AD30" s="170">
        <v>4.717223453925028</v>
      </c>
      <c r="AE30" s="170">
        <v>4.707766175411603</v>
      </c>
      <c r="AF30" s="170">
        <v>4.698251913915459</v>
      </c>
      <c r="AG30" s="170">
        <v>4.688762724022803</v>
      </c>
      <c r="AH30" s="170">
        <v>4.679252299330835</v>
      </c>
      <c r="AI30" s="170">
        <v>4.669700154214492</v>
      </c>
      <c r="AJ30" s="170">
        <v>4.660182379989958</v>
      </c>
      <c r="AK30" s="170">
        <v>4.650627091687809</v>
      </c>
      <c r="AL30" s="170">
        <v>4.641013185341737</v>
      </c>
      <c r="AM30" s="170">
        <v>4.631459568736384</v>
      </c>
      <c r="AN30" s="170">
        <v>4.621890347911229</v>
      </c>
      <c r="AO30" s="170">
        <v>4.612271559941403</v>
      </c>
      <c r="AP30" s="170">
        <v>4.602643861185274</v>
      </c>
      <c r="AQ30" s="170">
        <v>4.593061218339736</v>
      </c>
      <c r="AR30" s="170">
        <v>4.583417560657615</v>
      </c>
      <c r="AS30" s="170">
        <v>4.573753993438253</v>
      </c>
      <c r="AT30" s="170">
        <v>4.564084421907056</v>
      </c>
      <c r="AU30" s="170">
        <v>4.5544906926488</v>
      </c>
      <c r="AV30" s="170">
        <v>4.54472447268225</v>
      </c>
      <c r="AW30" s="170">
        <v>4.535055036621846</v>
      </c>
      <c r="AX30" s="170">
        <v>4.525416847385999</v>
      </c>
      <c r="AY30" s="171"/>
      <c r="AZ30" s="171"/>
      <c r="BA30" s="171"/>
      <c r="BB30" s="171"/>
      <c r="BC30" s="171"/>
      <c r="BD30" s="171"/>
      <c r="BE30" s="171"/>
      <c r="BF30" s="171"/>
    </row>
    <row r="31" spans="1:58" ht="15.75">
      <c r="A31" s="167">
        <v>5.800000000000001</v>
      </c>
      <c r="B31" s="170">
        <v>4.992962982513198</v>
      </c>
      <c r="C31" s="170">
        <v>4.9818998651957305</v>
      </c>
      <c r="D31" s="170">
        <v>4.9709850836016205</v>
      </c>
      <c r="E31" s="170">
        <v>4.959291901380303</v>
      </c>
      <c r="F31" s="170">
        <v>4.949736711847841</v>
      </c>
      <c r="G31" s="170">
        <v>4.939899735872621</v>
      </c>
      <c r="H31" s="170">
        <v>4.926801069490568</v>
      </c>
      <c r="I31" s="170">
        <v>4.917032460065922</v>
      </c>
      <c r="J31" s="170">
        <v>4.907127727955424</v>
      </c>
      <c r="K31" s="170">
        <v>4.897685320935524</v>
      </c>
      <c r="L31" s="170">
        <v>4.8882403757572765</v>
      </c>
      <c r="M31" s="170">
        <v>4.879155101622671</v>
      </c>
      <c r="N31" s="170">
        <v>4.869919861806365</v>
      </c>
      <c r="O31" s="170">
        <v>4.8609593016150265</v>
      </c>
      <c r="P31" s="170">
        <v>4.851937820374619</v>
      </c>
      <c r="Q31" s="170">
        <v>4.843041661135656</v>
      </c>
      <c r="R31" s="170">
        <v>4.834094405730534</v>
      </c>
      <c r="S31" s="170">
        <v>4.8251357050127215</v>
      </c>
      <c r="T31" s="170">
        <v>4.816200332718416</v>
      </c>
      <c r="U31" s="170">
        <v>4.807250709400167</v>
      </c>
      <c r="V31" s="170">
        <v>4.798168651439086</v>
      </c>
      <c r="W31" s="170">
        <v>4.788939156403347</v>
      </c>
      <c r="X31" s="170">
        <v>4.779739961783944</v>
      </c>
      <c r="Y31" s="170">
        <v>4.770359058055236</v>
      </c>
      <c r="Z31" s="170">
        <v>4.76105389225931</v>
      </c>
      <c r="AA31" s="170">
        <v>4.751680335316528</v>
      </c>
      <c r="AB31" s="170">
        <v>4.742297254461361</v>
      </c>
      <c r="AC31" s="170">
        <v>4.732808725308754</v>
      </c>
      <c r="AD31" s="170">
        <v>4.723361979256635</v>
      </c>
      <c r="AE31" s="170">
        <v>4.713895988759697</v>
      </c>
      <c r="AF31" s="170">
        <v>4.70442821905179</v>
      </c>
      <c r="AG31" s="170">
        <v>4.694888943856865</v>
      </c>
      <c r="AH31" s="170">
        <v>4.685396303348875</v>
      </c>
      <c r="AI31" s="170">
        <v>4.675865032514079</v>
      </c>
      <c r="AJ31" s="170">
        <v>4.666363737476432</v>
      </c>
      <c r="AK31" s="170">
        <v>4.656785767000512</v>
      </c>
      <c r="AL31" s="170">
        <v>4.6472696925038885</v>
      </c>
      <c r="AM31" s="170">
        <v>4.637703222995276</v>
      </c>
      <c r="AN31" s="170">
        <v>4.62813174741531</v>
      </c>
      <c r="AO31" s="170">
        <v>4.618549034990426</v>
      </c>
      <c r="AP31" s="170">
        <v>4.6089718936454425</v>
      </c>
      <c r="AQ31" s="170">
        <v>4.599394907186747</v>
      </c>
      <c r="AR31" s="170">
        <v>4.589772135561827</v>
      </c>
      <c r="AS31" s="170">
        <v>4.580175979131185</v>
      </c>
      <c r="AT31" s="170">
        <v>4.572361465237071</v>
      </c>
      <c r="AU31" s="170">
        <v>4.562672395119773</v>
      </c>
      <c r="AV31" s="170">
        <v>4.55301299181017</v>
      </c>
      <c r="AW31" s="170">
        <v>4.543320449351752</v>
      </c>
      <c r="AX31" s="170">
        <v>4.53366269632465</v>
      </c>
      <c r="AY31" s="171"/>
      <c r="AZ31" s="171"/>
      <c r="BA31" s="171"/>
      <c r="BB31" s="171"/>
      <c r="BC31" s="171"/>
      <c r="BD31" s="171"/>
      <c r="BE31" s="171"/>
      <c r="BF31" s="171"/>
    </row>
    <row r="32" spans="1:58" ht="15.75">
      <c r="A32" s="167">
        <v>6</v>
      </c>
      <c r="B32" s="170">
        <v>5.03490911143036</v>
      </c>
      <c r="C32" s="170">
        <v>4.987605657943919</v>
      </c>
      <c r="D32" s="170">
        <v>4.975699015592978</v>
      </c>
      <c r="E32" s="170">
        <v>4.9649724438344505</v>
      </c>
      <c r="F32" s="170">
        <v>4.955429912646581</v>
      </c>
      <c r="G32" s="170">
        <v>4.9457995591213555</v>
      </c>
      <c r="H32" s="170">
        <v>4.9323667971833665</v>
      </c>
      <c r="I32" s="170">
        <v>4.923074555338229</v>
      </c>
      <c r="J32" s="170">
        <v>4.913325639724483</v>
      </c>
      <c r="K32" s="170">
        <v>4.903786703574738</v>
      </c>
      <c r="L32" s="170">
        <v>4.894373380240174</v>
      </c>
      <c r="M32" s="170">
        <v>4.885362460055788</v>
      </c>
      <c r="N32" s="170">
        <v>4.87639409895382</v>
      </c>
      <c r="O32" s="170">
        <v>4.867339509126473</v>
      </c>
      <c r="P32" s="170">
        <v>4.858385356751658</v>
      </c>
      <c r="Q32" s="170">
        <v>4.849504188980171</v>
      </c>
      <c r="R32" s="170">
        <v>4.8404511480888175</v>
      </c>
      <c r="S32" s="170">
        <v>4.83157394774955</v>
      </c>
      <c r="T32" s="170">
        <v>4.8225758001301395</v>
      </c>
      <c r="U32" s="170">
        <v>4.813530279939764</v>
      </c>
      <c r="V32" s="170">
        <v>4.804373534260495</v>
      </c>
      <c r="W32" s="170">
        <v>4.795167054384636</v>
      </c>
      <c r="X32" s="170">
        <v>4.785866392575115</v>
      </c>
      <c r="Y32" s="170">
        <v>4.776524731725456</v>
      </c>
      <c r="Z32" s="170">
        <v>4.767156454127066</v>
      </c>
      <c r="AA32" s="170">
        <v>4.757726300369523</v>
      </c>
      <c r="AB32" s="170">
        <v>4.748351168100229</v>
      </c>
      <c r="AC32" s="170">
        <v>4.738865453653168</v>
      </c>
      <c r="AD32" s="170">
        <v>4.7294054240733265</v>
      </c>
      <c r="AE32" s="170">
        <v>4.719981343435582</v>
      </c>
      <c r="AF32" s="170">
        <v>4.7105043393061194</v>
      </c>
      <c r="AG32" s="170">
        <v>4.700982079629731</v>
      </c>
      <c r="AH32" s="170">
        <v>4.691472002148893</v>
      </c>
      <c r="AI32" s="170">
        <v>4.682008552882001</v>
      </c>
      <c r="AJ32" s="170">
        <v>4.67252222418905</v>
      </c>
      <c r="AK32" s="170">
        <v>4.662945541080443</v>
      </c>
      <c r="AL32" s="170">
        <v>4.653426277615427</v>
      </c>
      <c r="AM32" s="170">
        <v>4.643905066260737</v>
      </c>
      <c r="AN32" s="170">
        <v>4.634373607673924</v>
      </c>
      <c r="AO32" s="170">
        <v>4.62482095593923</v>
      </c>
      <c r="AP32" s="170">
        <v>4.617117230757277</v>
      </c>
      <c r="AQ32" s="170">
        <v>4.60756402969664</v>
      </c>
      <c r="AR32" s="170">
        <v>4.597928881078684</v>
      </c>
      <c r="AS32" s="170">
        <v>4.588323923869013</v>
      </c>
      <c r="AT32" s="170">
        <v>4.578739140288518</v>
      </c>
      <c r="AU32" s="170">
        <v>4.569067973083316</v>
      </c>
      <c r="AV32" s="170">
        <v>4.5594440121085675</v>
      </c>
      <c r="AW32" s="170">
        <v>4.549777443201765</v>
      </c>
      <c r="AX32" s="170">
        <v>4.540123591607394</v>
      </c>
      <c r="AY32" s="171"/>
      <c r="AZ32" s="171"/>
      <c r="BA32" s="171"/>
      <c r="BB32" s="171"/>
      <c r="BC32" s="171"/>
      <c r="BD32" s="171"/>
      <c r="BE32" s="171"/>
      <c r="BF32" s="171"/>
    </row>
    <row r="33" spans="1:58" ht="15.75">
      <c r="A33" s="167">
        <v>6.2</v>
      </c>
      <c r="B33" s="170">
        <v>5.004019570381596</v>
      </c>
      <c r="C33" s="170">
        <v>4.994060108968341</v>
      </c>
      <c r="D33" s="170">
        <v>4.9813442992262615</v>
      </c>
      <c r="E33" s="170">
        <v>4.970949633045487</v>
      </c>
      <c r="F33" s="170">
        <v>4.961462943354005</v>
      </c>
      <c r="G33" s="170">
        <v>4.951681481135969</v>
      </c>
      <c r="H33" s="170">
        <v>4.938679598955772</v>
      </c>
      <c r="I33" s="170">
        <v>4.9291512411172524</v>
      </c>
      <c r="J33" s="170">
        <v>4.919115689343755</v>
      </c>
      <c r="K33" s="170">
        <v>4.909971851165702</v>
      </c>
      <c r="L33" s="170">
        <v>4.900729814913876</v>
      </c>
      <c r="M33" s="170">
        <v>4.891573225200336</v>
      </c>
      <c r="N33" s="170">
        <v>4.882411682318831</v>
      </c>
      <c r="O33" s="170">
        <v>4.873635488841056</v>
      </c>
      <c r="P33" s="170">
        <v>4.864723140874024</v>
      </c>
      <c r="Q33" s="170">
        <v>4.855809293136616</v>
      </c>
      <c r="R33" s="170">
        <v>4.846977634183587</v>
      </c>
      <c r="S33" s="170">
        <v>4.8378710054923255</v>
      </c>
      <c r="T33" s="170">
        <v>4.828889752129731</v>
      </c>
      <c r="U33" s="170">
        <v>4.819726638774836</v>
      </c>
      <c r="V33" s="170">
        <v>4.810564433425365</v>
      </c>
      <c r="W33" s="170">
        <v>4.801296610682379</v>
      </c>
      <c r="X33" s="170">
        <v>4.791913020003845</v>
      </c>
      <c r="Y33" s="170">
        <v>4.782543695903818</v>
      </c>
      <c r="Z33" s="170">
        <v>4.77319417432916</v>
      </c>
      <c r="AA33" s="170">
        <v>4.763749107744366</v>
      </c>
      <c r="AB33" s="170">
        <v>4.754341624603381</v>
      </c>
      <c r="AC33" s="170">
        <v>4.744887107751768</v>
      </c>
      <c r="AD33" s="170">
        <v>4.7354808381488205</v>
      </c>
      <c r="AE33" s="170">
        <v>4.726001743154091</v>
      </c>
      <c r="AF33" s="170">
        <v>4.716542632466492</v>
      </c>
      <c r="AG33" s="170">
        <v>4.707109564621572</v>
      </c>
      <c r="AH33" s="170">
        <v>4.697583391883761</v>
      </c>
      <c r="AI33" s="170">
        <v>4.688111450123221</v>
      </c>
      <c r="AJ33" s="170">
        <v>4.678522481804353</v>
      </c>
      <c r="AK33" s="170">
        <v>4.671009712563358</v>
      </c>
      <c r="AL33" s="170">
        <v>4.661496145974741</v>
      </c>
      <c r="AM33" s="170">
        <v>4.651958941142511</v>
      </c>
      <c r="AN33" s="170">
        <v>4.642443270334301</v>
      </c>
      <c r="AO33" s="170">
        <v>4.6328625568780515</v>
      </c>
      <c r="AP33" s="170">
        <v>4.623320083436707</v>
      </c>
      <c r="AQ33" s="170">
        <v>4.613742183311003</v>
      </c>
      <c r="AR33" s="170">
        <v>4.604193065720448</v>
      </c>
      <c r="AS33" s="170">
        <v>4.594589569223977</v>
      </c>
      <c r="AT33" s="170">
        <v>4.585006133730665</v>
      </c>
      <c r="AU33" s="170">
        <v>4.575403352721997</v>
      </c>
      <c r="AV33" s="170">
        <v>4.565826535902566</v>
      </c>
      <c r="AW33" s="170">
        <v>4.556180680557894</v>
      </c>
      <c r="AX33" s="170">
        <v>4.546550866222087</v>
      </c>
      <c r="AY33" s="171"/>
      <c r="AZ33" s="171"/>
      <c r="BA33" s="171"/>
      <c r="BB33" s="171"/>
      <c r="BC33" s="171"/>
      <c r="BD33" s="171"/>
      <c r="BE33" s="171"/>
      <c r="BF33" s="171"/>
    </row>
    <row r="34" spans="1:58" ht="15.75">
      <c r="A34" s="167">
        <v>6.4</v>
      </c>
      <c r="B34" s="170">
        <v>5.009367723993693</v>
      </c>
      <c r="C34" s="170">
        <v>4.999749625321834</v>
      </c>
      <c r="D34" s="170">
        <v>4.990003766814265</v>
      </c>
      <c r="E34" s="170">
        <v>4.977488184705386</v>
      </c>
      <c r="F34" s="170">
        <v>4.9671380039301605</v>
      </c>
      <c r="G34" s="170">
        <v>4.957646417538037</v>
      </c>
      <c r="H34" s="170">
        <v>4.94461386938792</v>
      </c>
      <c r="I34" s="170">
        <v>4.934905442320897</v>
      </c>
      <c r="J34" s="170">
        <v>4.925309177801919</v>
      </c>
      <c r="K34" s="170">
        <v>4.91582951753503</v>
      </c>
      <c r="L34" s="170">
        <v>4.906970359811408</v>
      </c>
      <c r="M34" s="170">
        <v>4.8977625670378035</v>
      </c>
      <c r="N34" s="170">
        <v>4.888880868170805</v>
      </c>
      <c r="O34" s="170">
        <v>4.879941124808859</v>
      </c>
      <c r="P34" s="170">
        <v>4.871128048895158</v>
      </c>
      <c r="Q34" s="170">
        <v>4.86217864548287</v>
      </c>
      <c r="R34" s="170">
        <v>4.853075753579191</v>
      </c>
      <c r="S34" s="170">
        <v>4.844172545657305</v>
      </c>
      <c r="T34" s="170">
        <v>4.835111611096975</v>
      </c>
      <c r="U34" s="170">
        <v>4.825913327786536</v>
      </c>
      <c r="V34" s="170">
        <v>4.816575245208426</v>
      </c>
      <c r="W34" s="170">
        <v>4.807320022561398</v>
      </c>
      <c r="X34" s="170">
        <v>4.797946676544982</v>
      </c>
      <c r="Y34" s="170">
        <v>4.788587577869269</v>
      </c>
      <c r="Z34" s="170">
        <v>4.779164398243212</v>
      </c>
      <c r="AA34" s="170">
        <v>4.769759200027</v>
      </c>
      <c r="AB34" s="170">
        <v>4.760313473629709</v>
      </c>
      <c r="AC34" s="170">
        <v>4.750861793458256</v>
      </c>
      <c r="AD34" s="170">
        <v>4.741405762276315</v>
      </c>
      <c r="AE34" s="170">
        <v>4.734012145154885</v>
      </c>
      <c r="AF34" s="170">
        <v>4.724530010439432</v>
      </c>
      <c r="AG34" s="170">
        <v>4.715004938705865</v>
      </c>
      <c r="AH34" s="170">
        <v>4.705564296649361</v>
      </c>
      <c r="AI34" s="170">
        <v>4.696050045097562</v>
      </c>
      <c r="AJ34" s="170">
        <v>4.686558349868949</v>
      </c>
      <c r="AK34" s="170">
        <v>4.677111855160944</v>
      </c>
      <c r="AL34" s="170">
        <v>4.6675819578104205</v>
      </c>
      <c r="AM34" s="170">
        <v>4.658052637028013</v>
      </c>
      <c r="AN34" s="170">
        <v>4.648510139795605</v>
      </c>
      <c r="AO34" s="170">
        <v>4.638996274474227</v>
      </c>
      <c r="AP34" s="170">
        <v>4.629461712667172</v>
      </c>
      <c r="AQ34" s="170">
        <v>4.619924979785868</v>
      </c>
      <c r="AR34" s="170">
        <v>4.610370173227233</v>
      </c>
      <c r="AS34" s="170">
        <v>4.600832083063092</v>
      </c>
      <c r="AT34" s="170">
        <v>4.591246475573246</v>
      </c>
      <c r="AU34" s="170">
        <v>4.581632258474174</v>
      </c>
      <c r="AV34" s="170">
        <v>4.572097628746286</v>
      </c>
      <c r="AW34" s="170">
        <v>4.5624916788349585</v>
      </c>
      <c r="AX34" s="170">
        <v>4.552911906357216</v>
      </c>
      <c r="AY34" s="171"/>
      <c r="AZ34" s="171"/>
      <c r="BA34" s="171"/>
      <c r="BB34" s="171"/>
      <c r="BC34" s="171"/>
      <c r="BD34" s="171"/>
      <c r="BE34" s="171"/>
      <c r="BF34" s="171"/>
    </row>
    <row r="35" spans="1:58" ht="15.75">
      <c r="A35" s="167">
        <v>6.6000000000000005</v>
      </c>
      <c r="B35" s="170">
        <v>5.014915687201108</v>
      </c>
      <c r="C35" s="170">
        <v>5.005374014711888</v>
      </c>
      <c r="D35" s="170">
        <v>4.995743485116786</v>
      </c>
      <c r="E35" s="170">
        <v>4.985139473204708</v>
      </c>
      <c r="F35" s="170">
        <v>4.973601904176458</v>
      </c>
      <c r="G35" s="170">
        <v>4.963541977101303</v>
      </c>
      <c r="H35" s="170">
        <v>4.950332862009039</v>
      </c>
      <c r="I35" s="170">
        <v>4.9408569243320315</v>
      </c>
      <c r="J35" s="170">
        <v>4.931243653777827</v>
      </c>
      <c r="K35" s="170">
        <v>4.92195178362454</v>
      </c>
      <c r="L35" s="170">
        <v>4.91324381431399</v>
      </c>
      <c r="M35" s="170">
        <v>4.904179722944117</v>
      </c>
      <c r="N35" s="170">
        <v>4.895066113876037</v>
      </c>
      <c r="O35" s="170">
        <v>4.886349202006522</v>
      </c>
      <c r="P35" s="170">
        <v>4.877496616317346</v>
      </c>
      <c r="Q35" s="170">
        <v>4.868507656785693</v>
      </c>
      <c r="R35" s="170">
        <v>4.8594922781504115</v>
      </c>
      <c r="S35" s="170">
        <v>4.850347017903886</v>
      </c>
      <c r="T35" s="170">
        <v>4.841196158545556</v>
      </c>
      <c r="U35" s="170">
        <v>4.831954060759137</v>
      </c>
      <c r="V35" s="170">
        <v>4.822653781493095</v>
      </c>
      <c r="W35" s="170">
        <v>4.8133502628095775</v>
      </c>
      <c r="X35" s="170">
        <v>4.803923118814416</v>
      </c>
      <c r="Y35" s="170">
        <v>4.796622926199676</v>
      </c>
      <c r="Z35" s="170">
        <v>4.787151534897935</v>
      </c>
      <c r="AA35" s="170">
        <v>4.77775301765138</v>
      </c>
      <c r="AB35" s="170">
        <v>4.768304830021867</v>
      </c>
      <c r="AC35" s="170">
        <v>4.7588488931919875</v>
      </c>
      <c r="AD35" s="170">
        <v>4.7494039589831285</v>
      </c>
      <c r="AE35" s="170">
        <v>4.739932233619322</v>
      </c>
      <c r="AF35" s="170">
        <v>4.730489873895582</v>
      </c>
      <c r="AG35" s="170">
        <v>4.720971972091406</v>
      </c>
      <c r="AH35" s="170">
        <v>4.711511131753151</v>
      </c>
      <c r="AI35" s="170">
        <v>4.702067506168043</v>
      </c>
      <c r="AJ35" s="170">
        <v>4.69254871336203</v>
      </c>
      <c r="AK35" s="170">
        <v>4.68307036509794</v>
      </c>
      <c r="AL35" s="170">
        <v>4.673569212975381</v>
      </c>
      <c r="AM35" s="170">
        <v>4.664104761640808</v>
      </c>
      <c r="AN35" s="170">
        <v>4.654572337424878</v>
      </c>
      <c r="AO35" s="170">
        <v>4.64510769876674</v>
      </c>
      <c r="AP35" s="170">
        <v>4.635550511650527</v>
      </c>
      <c r="AQ35" s="170">
        <v>4.626017475883576</v>
      </c>
      <c r="AR35" s="170">
        <v>4.616523042585855</v>
      </c>
      <c r="AS35" s="170">
        <v>4.6069410962194635</v>
      </c>
      <c r="AT35" s="170">
        <v>4.597392099437183</v>
      </c>
      <c r="AU35" s="170">
        <v>4.587874543305681</v>
      </c>
      <c r="AV35" s="170">
        <v>4.578304936978517</v>
      </c>
      <c r="AW35" s="170">
        <v>4.568732549100063</v>
      </c>
      <c r="AX35" s="170">
        <v>4.559175885795113</v>
      </c>
      <c r="AY35" s="171"/>
      <c r="AZ35" s="171"/>
      <c r="BA35" s="171"/>
      <c r="BB35" s="171"/>
      <c r="BC35" s="171"/>
      <c r="BD35" s="171"/>
      <c r="BE35" s="171"/>
      <c r="BF35" s="171"/>
    </row>
    <row r="36" spans="1:58" ht="15.75">
      <c r="A36" s="167">
        <v>6.800000000000001</v>
      </c>
      <c r="B36" s="170">
        <v>5.020311392478032</v>
      </c>
      <c r="C36" s="170">
        <v>5.010856659994364</v>
      </c>
      <c r="D36" s="170">
        <v>5.001079281504308</v>
      </c>
      <c r="E36" s="170">
        <v>4.990034711600245</v>
      </c>
      <c r="F36" s="170">
        <v>4.980779635013782</v>
      </c>
      <c r="G36" s="170">
        <v>4.97152861605493</v>
      </c>
      <c r="H36" s="170">
        <v>4.954910043504973</v>
      </c>
      <c r="I36" s="170">
        <v>4.947045762399289</v>
      </c>
      <c r="J36" s="170">
        <v>4.937808962002665</v>
      </c>
      <c r="K36" s="170">
        <v>4.928385075396941</v>
      </c>
      <c r="L36" s="170">
        <v>4.919277869311126</v>
      </c>
      <c r="M36" s="170">
        <v>4.9105363556876025</v>
      </c>
      <c r="N36" s="170">
        <v>4.901658837296878</v>
      </c>
      <c r="O36" s="170">
        <v>4.8927391347440405</v>
      </c>
      <c r="P36" s="170">
        <v>4.885791202875092</v>
      </c>
      <c r="Q36" s="170">
        <v>4.876745019790741</v>
      </c>
      <c r="R36" s="170">
        <v>4.867675185520457</v>
      </c>
      <c r="S36" s="170">
        <v>4.858551167054102</v>
      </c>
      <c r="T36" s="170">
        <v>4.849245451525478</v>
      </c>
      <c r="U36" s="170">
        <v>4.839963453515207</v>
      </c>
      <c r="V36" s="170">
        <v>4.830574707240403</v>
      </c>
      <c r="W36" s="170">
        <v>4.821312003448177</v>
      </c>
      <c r="X36" s="170">
        <v>4.811918918182641</v>
      </c>
      <c r="Y36" s="170">
        <v>4.802475099599373</v>
      </c>
      <c r="Z36" s="170">
        <v>4.793036270993364</v>
      </c>
      <c r="AA36" s="170">
        <v>4.783611039192782</v>
      </c>
      <c r="AB36" s="170">
        <v>4.774190834951318</v>
      </c>
      <c r="AC36" s="170">
        <v>4.764719377641273</v>
      </c>
      <c r="AD36" s="170">
        <v>4.755285169251091</v>
      </c>
      <c r="AE36" s="170">
        <v>4.745798431205139</v>
      </c>
      <c r="AF36" s="170">
        <v>4.7363753072920165</v>
      </c>
      <c r="AG36" s="170">
        <v>4.726951149436278</v>
      </c>
      <c r="AH36" s="170">
        <v>4.7174993648874874</v>
      </c>
      <c r="AI36" s="170">
        <v>4.707969962566186</v>
      </c>
      <c r="AJ36" s="170">
        <v>4.698562138748543</v>
      </c>
      <c r="AK36" s="170">
        <v>4.689043511125703</v>
      </c>
      <c r="AL36" s="170">
        <v>4.67956976396827</v>
      </c>
      <c r="AM36" s="170">
        <v>4.6700800449859905</v>
      </c>
      <c r="AN36" s="170">
        <v>4.660545073447067</v>
      </c>
      <c r="AO36" s="170">
        <v>4.651059089803487</v>
      </c>
      <c r="AP36" s="170">
        <v>4.641584728941073</v>
      </c>
      <c r="AQ36" s="170">
        <v>4.6321100566976146</v>
      </c>
      <c r="AR36" s="170">
        <v>4.622558120200985</v>
      </c>
      <c r="AS36" s="170">
        <v>4.613080647968674</v>
      </c>
      <c r="AT36" s="170">
        <v>4.603549768738599</v>
      </c>
      <c r="AU36" s="170">
        <v>4.594007340169159</v>
      </c>
      <c r="AV36" s="170">
        <v>4.584454265586924</v>
      </c>
      <c r="AW36" s="170">
        <v>4.574907760636309</v>
      </c>
      <c r="AX36" s="170">
        <v>4.565419475977623</v>
      </c>
      <c r="AY36" s="171"/>
      <c r="AZ36" s="171"/>
      <c r="BA36" s="171"/>
      <c r="BB36" s="171"/>
      <c r="BC36" s="171"/>
      <c r="BD36" s="171"/>
      <c r="BE36" s="171"/>
      <c r="BF36" s="171"/>
    </row>
    <row r="37" spans="1:58" ht="15.75">
      <c r="A37" s="167">
        <v>7</v>
      </c>
      <c r="B37" s="170">
        <v>5.1612731787463595</v>
      </c>
      <c r="C37" s="170">
        <v>5.016448647167642</v>
      </c>
      <c r="D37" s="170">
        <v>5.006971121689046</v>
      </c>
      <c r="E37" s="170">
        <v>4.996108548879457</v>
      </c>
      <c r="F37" s="170">
        <v>4.9867858509018355</v>
      </c>
      <c r="G37" s="170">
        <v>4.977298830843524</v>
      </c>
      <c r="H37" s="170">
        <v>4.964753011958019</v>
      </c>
      <c r="I37" s="170">
        <v>4.955328439480994</v>
      </c>
      <c r="J37" s="170">
        <v>4.945909484856006</v>
      </c>
      <c r="K37" s="170">
        <v>4.936846215532601</v>
      </c>
      <c r="L37" s="170">
        <v>4.927636293255107</v>
      </c>
      <c r="M37" s="170">
        <v>4.918871090606703</v>
      </c>
      <c r="N37" s="170">
        <v>4.909822041997523</v>
      </c>
      <c r="O37" s="170">
        <v>4.901009450836494</v>
      </c>
      <c r="P37" s="170">
        <v>4.8918764622595186</v>
      </c>
      <c r="Q37" s="170">
        <v>4.8827790551105155</v>
      </c>
      <c r="R37" s="170">
        <v>4.8736319415353915</v>
      </c>
      <c r="S37" s="170">
        <v>4.86456590065635</v>
      </c>
      <c r="T37" s="170">
        <v>4.855103324119455</v>
      </c>
      <c r="U37" s="170">
        <v>4.845791579652413</v>
      </c>
      <c r="V37" s="170">
        <v>4.8365914767667055</v>
      </c>
      <c r="W37" s="170">
        <v>4.827196414725577</v>
      </c>
      <c r="X37" s="170">
        <v>4.817781806146389</v>
      </c>
      <c r="Y37" s="170">
        <v>4.808258118381344</v>
      </c>
      <c r="Z37" s="170">
        <v>4.798855214830181</v>
      </c>
      <c r="AA37" s="170">
        <v>4.789452309800157</v>
      </c>
      <c r="AB37" s="170">
        <v>4.77993776572863</v>
      </c>
      <c r="AC37" s="170">
        <v>4.7705265697247174</v>
      </c>
      <c r="AD37" s="170">
        <v>4.761129078990496</v>
      </c>
      <c r="AE37" s="170">
        <v>4.751660418885579</v>
      </c>
      <c r="AF37" s="170">
        <v>4.742284071927819</v>
      </c>
      <c r="AG37" s="170">
        <v>4.732816178432895</v>
      </c>
      <c r="AH37" s="170">
        <v>4.723350187245934</v>
      </c>
      <c r="AI37" s="170">
        <v>4.713936912440028</v>
      </c>
      <c r="AJ37" s="170">
        <v>4.704431491073341</v>
      </c>
      <c r="AK37" s="170">
        <v>4.694990765547153</v>
      </c>
      <c r="AL37" s="170">
        <v>4.685534149247031</v>
      </c>
      <c r="AM37" s="170">
        <v>4.676009610459735</v>
      </c>
      <c r="AN37" s="170">
        <v>4.66657868301683</v>
      </c>
      <c r="AO37" s="170">
        <v>4.657060902634981</v>
      </c>
      <c r="AP37" s="170">
        <v>4.647563006565185</v>
      </c>
      <c r="AQ37" s="170">
        <v>4.638132897019356</v>
      </c>
      <c r="AR37" s="170">
        <v>4.628594337868692</v>
      </c>
      <c r="AS37" s="170">
        <v>4.619109934446461</v>
      </c>
      <c r="AT37" s="170">
        <v>4.6096214247121665</v>
      </c>
      <c r="AU37" s="170">
        <v>4.600091770095796</v>
      </c>
      <c r="AV37" s="170">
        <v>4.59057318942607</v>
      </c>
      <c r="AW37" s="170">
        <v>4.5810863500610965</v>
      </c>
      <c r="AX37" s="170">
        <v>4.571543217450336</v>
      </c>
      <c r="AY37" s="171"/>
      <c r="AZ37" s="171"/>
      <c r="BA37" s="171"/>
      <c r="BB37" s="171"/>
      <c r="BC37" s="171"/>
      <c r="BD37" s="171"/>
      <c r="BE37" s="171"/>
      <c r="BF37" s="171"/>
    </row>
    <row r="38" spans="1:58" ht="15.75">
      <c r="A38" s="167">
        <v>7.2</v>
      </c>
      <c r="B38" s="170">
        <v>5.031201045593641</v>
      </c>
      <c r="C38" s="170">
        <v>5.021854428310783</v>
      </c>
      <c r="D38" s="170">
        <v>5.012368385959795</v>
      </c>
      <c r="E38" s="170">
        <v>5.001660064531783</v>
      </c>
      <c r="F38" s="170">
        <v>4.992396574701122</v>
      </c>
      <c r="G38" s="170">
        <v>4.9832493204234325</v>
      </c>
      <c r="H38" s="170">
        <v>4.970319098191302</v>
      </c>
      <c r="I38" s="170">
        <v>4.961273078319762</v>
      </c>
      <c r="J38" s="170">
        <v>4.952263323154837</v>
      </c>
      <c r="K38" s="170">
        <v>4.943366839667565</v>
      </c>
      <c r="L38" s="170">
        <v>4.9342437424930194</v>
      </c>
      <c r="M38" s="170">
        <v>4.925245151294916</v>
      </c>
      <c r="N38" s="170">
        <v>4.916187788737793</v>
      </c>
      <c r="O38" s="170">
        <v>4.907129809134462</v>
      </c>
      <c r="P38" s="170">
        <v>4.89818784347584</v>
      </c>
      <c r="Q38" s="170">
        <v>4.8889886744906805</v>
      </c>
      <c r="R38" s="170">
        <v>4.879715911545408</v>
      </c>
      <c r="S38" s="170">
        <v>4.870438419000953</v>
      </c>
      <c r="T38" s="170">
        <v>4.8611821030882645</v>
      </c>
      <c r="U38" s="170">
        <v>4.8517000024283226</v>
      </c>
      <c r="V38" s="170">
        <v>4.8423288521488415</v>
      </c>
      <c r="W38" s="170">
        <v>4.832974559080424</v>
      </c>
      <c r="X38" s="170">
        <v>4.82357418674611</v>
      </c>
      <c r="Y38" s="170">
        <v>4.814150979414252</v>
      </c>
      <c r="Z38" s="170">
        <v>4.804618825248311</v>
      </c>
      <c r="AA38" s="170">
        <v>4.795212211884724</v>
      </c>
      <c r="AB38" s="170">
        <v>4.785803397789591</v>
      </c>
      <c r="AC38" s="170">
        <v>4.776371035443496</v>
      </c>
      <c r="AD38" s="170">
        <v>4.766926290547078</v>
      </c>
      <c r="AE38" s="170">
        <v>4.757462750352597</v>
      </c>
      <c r="AF38" s="170">
        <v>4.747996646164449</v>
      </c>
      <c r="AG38" s="170">
        <v>4.738633181975723</v>
      </c>
      <c r="AH38" s="170">
        <v>4.729199227238646</v>
      </c>
      <c r="AI38" s="170">
        <v>4.719738619207319</v>
      </c>
      <c r="AJ38" s="170">
        <v>4.710291521730263</v>
      </c>
      <c r="AK38" s="170">
        <v>4.700826908555957</v>
      </c>
      <c r="AL38" s="170">
        <v>4.69142700506012</v>
      </c>
      <c r="AM38" s="170">
        <v>4.681979534341398</v>
      </c>
      <c r="AN38" s="170">
        <v>4.672466176036757</v>
      </c>
      <c r="AO38" s="170">
        <v>4.6630243645943334</v>
      </c>
      <c r="AP38" s="170">
        <v>4.653557534831905</v>
      </c>
      <c r="AQ38" s="170">
        <v>4.64405023739561</v>
      </c>
      <c r="AR38" s="170">
        <v>4.634634993660379</v>
      </c>
      <c r="AS38" s="170">
        <v>4.625124062052522</v>
      </c>
      <c r="AT38" s="170">
        <v>4.615644280464303</v>
      </c>
      <c r="AU38" s="170">
        <v>4.606158699476094</v>
      </c>
      <c r="AV38" s="170">
        <v>4.596650765847724</v>
      </c>
      <c r="AW38" s="170">
        <v>4.587151851775788</v>
      </c>
      <c r="AX38" s="170">
        <v>4.577618602339463</v>
      </c>
      <c r="AY38" s="171"/>
      <c r="AZ38" s="171"/>
      <c r="BA38" s="171"/>
      <c r="BB38" s="171"/>
      <c r="BC38" s="171"/>
      <c r="BD38" s="171"/>
      <c r="BE38" s="171"/>
      <c r="BF38" s="171"/>
    </row>
    <row r="39" spans="1:58" ht="15.75">
      <c r="A39" s="167">
        <v>7.4</v>
      </c>
      <c r="B39" s="170">
        <v>5.036694396124784</v>
      </c>
      <c r="C39" s="170">
        <v>5.0274887936478665</v>
      </c>
      <c r="D39" s="170">
        <v>5.018126468039641</v>
      </c>
      <c r="E39" s="170">
        <v>5.00756750956572</v>
      </c>
      <c r="F39" s="170">
        <v>4.998410198999195</v>
      </c>
      <c r="G39" s="170">
        <v>4.988951565697909</v>
      </c>
      <c r="H39" s="170">
        <v>4.976280515919358</v>
      </c>
      <c r="I39" s="170">
        <v>4.967622077336104</v>
      </c>
      <c r="J39" s="170">
        <v>4.958463252292803</v>
      </c>
      <c r="K39" s="170">
        <v>4.949481082144709</v>
      </c>
      <c r="L39" s="170">
        <v>4.940449873860188</v>
      </c>
      <c r="M39" s="170">
        <v>4.931443939602739</v>
      </c>
      <c r="N39" s="170">
        <v>4.922407114393062</v>
      </c>
      <c r="O39" s="170">
        <v>4.913100541950879</v>
      </c>
      <c r="P39" s="170">
        <v>4.903838748206598</v>
      </c>
      <c r="Q39" s="170">
        <v>4.895010829071084</v>
      </c>
      <c r="R39" s="170">
        <v>4.885463443071923</v>
      </c>
      <c r="S39" s="170">
        <v>4.876405316771164</v>
      </c>
      <c r="T39" s="170">
        <v>4.8669222285157</v>
      </c>
      <c r="U39" s="170">
        <v>4.857561112365191</v>
      </c>
      <c r="V39" s="170">
        <v>4.848215394170167</v>
      </c>
      <c r="W39" s="170">
        <v>4.838754706104431</v>
      </c>
      <c r="X39" s="170">
        <v>4.829363805077116</v>
      </c>
      <c r="Y39" s="170">
        <v>4.81991939389668</v>
      </c>
      <c r="Z39" s="170">
        <v>4.810434550267801</v>
      </c>
      <c r="AA39" s="170">
        <v>4.801004099762871</v>
      </c>
      <c r="AB39" s="170">
        <v>4.791587958266595</v>
      </c>
      <c r="AC39" s="170">
        <v>4.782145472440986</v>
      </c>
      <c r="AD39" s="170">
        <v>4.772734660345151</v>
      </c>
      <c r="AE39" s="170">
        <v>4.763259272998764</v>
      </c>
      <c r="AF39" s="170">
        <v>4.753866678952586</v>
      </c>
      <c r="AG39" s="170">
        <v>4.744406330548898</v>
      </c>
      <c r="AH39" s="170">
        <v>4.735024686890324</v>
      </c>
      <c r="AI39" s="170">
        <v>4.725576560109527</v>
      </c>
      <c r="AJ39" s="170">
        <v>4.716159910833461</v>
      </c>
      <c r="AK39" s="170">
        <v>4.706740365627969</v>
      </c>
      <c r="AL39" s="170">
        <v>4.697247817796161</v>
      </c>
      <c r="AM39" s="170">
        <v>4.687822690195374</v>
      </c>
      <c r="AN39" s="170">
        <v>4.678364542949438</v>
      </c>
      <c r="AO39" s="170">
        <v>4.668901381150888</v>
      </c>
      <c r="AP39" s="170">
        <v>4.659455329375811</v>
      </c>
      <c r="AQ39" s="170">
        <v>4.650028691295772</v>
      </c>
      <c r="AR39" s="170">
        <v>4.640520392932764</v>
      </c>
      <c r="AS39" s="170">
        <v>4.631085782157396</v>
      </c>
      <c r="AT39" s="170">
        <v>4.621626146683359</v>
      </c>
      <c r="AU39" s="170">
        <v>4.612177420950145</v>
      </c>
      <c r="AV39" s="170">
        <v>4.602660120671819</v>
      </c>
      <c r="AW39" s="170">
        <v>4.593169181253731</v>
      </c>
      <c r="AX39" s="170">
        <v>4.583683327596233</v>
      </c>
      <c r="AY39" s="171"/>
      <c r="AZ39" s="171"/>
      <c r="BA39" s="171"/>
      <c r="BB39" s="171"/>
      <c r="BC39" s="171"/>
      <c r="BD39" s="171"/>
      <c r="BE39" s="171"/>
      <c r="BF39" s="171"/>
    </row>
    <row r="40" spans="1:58" ht="15.75">
      <c r="A40" s="167">
        <v>7.6000000000000005</v>
      </c>
      <c r="B40" s="170">
        <v>4.988315018840599</v>
      </c>
      <c r="C40" s="170">
        <v>5.032981817856151</v>
      </c>
      <c r="D40" s="170">
        <v>5.0235100142804</v>
      </c>
      <c r="E40" s="170">
        <v>5.013159886594855</v>
      </c>
      <c r="F40" s="170">
        <v>5.003987262522994</v>
      </c>
      <c r="G40" s="170">
        <v>4.995015401687157</v>
      </c>
      <c r="H40" s="170">
        <v>4.982392613505461</v>
      </c>
      <c r="I40" s="170">
        <v>4.973670665836891</v>
      </c>
      <c r="J40" s="170">
        <v>4.964476303529296</v>
      </c>
      <c r="K40" s="170">
        <v>4.955467291453045</v>
      </c>
      <c r="L40" s="170">
        <v>4.946457142813768</v>
      </c>
      <c r="M40" s="170">
        <v>4.937333426137023</v>
      </c>
      <c r="N40" s="170">
        <v>4.928565573354719</v>
      </c>
      <c r="O40" s="170">
        <v>4.919117224695933</v>
      </c>
      <c r="P40" s="170">
        <v>4.910152460441054</v>
      </c>
      <c r="Q40" s="170">
        <v>4.900864039912308</v>
      </c>
      <c r="R40" s="170">
        <v>4.891570883306165</v>
      </c>
      <c r="S40" s="170">
        <v>4.882144500130497</v>
      </c>
      <c r="T40" s="170">
        <v>4.8727431342029925</v>
      </c>
      <c r="U40" s="170">
        <v>4.863362924696429</v>
      </c>
      <c r="V40" s="170">
        <v>4.853948237709018</v>
      </c>
      <c r="W40" s="170">
        <v>4.844498027492209</v>
      </c>
      <c r="X40" s="170">
        <v>4.835065797361521</v>
      </c>
      <c r="Y40" s="170">
        <v>4.825627175723635</v>
      </c>
      <c r="Z40" s="170">
        <v>4.81617933001413</v>
      </c>
      <c r="AA40" s="170">
        <v>4.806734929089873</v>
      </c>
      <c r="AB40" s="170">
        <v>4.797313347419896</v>
      </c>
      <c r="AC40" s="170">
        <v>4.787890952887493</v>
      </c>
      <c r="AD40" s="170">
        <v>4.778478381879896</v>
      </c>
      <c r="AE40" s="170">
        <v>4.769018561557877</v>
      </c>
      <c r="AF40" s="170">
        <v>4.759580537480383</v>
      </c>
      <c r="AG40" s="170">
        <v>4.750183200042779</v>
      </c>
      <c r="AH40" s="170">
        <v>4.740746114614303</v>
      </c>
      <c r="AI40" s="170">
        <v>4.7314037361802574</v>
      </c>
      <c r="AJ40" s="170">
        <v>4.72193360003647</v>
      </c>
      <c r="AK40" s="170">
        <v>4.7125134899586785</v>
      </c>
      <c r="AL40" s="170">
        <v>4.70309110850293</v>
      </c>
      <c r="AM40" s="170">
        <v>4.693656654351825</v>
      </c>
      <c r="AN40" s="170">
        <v>4.684182844784005</v>
      </c>
      <c r="AO40" s="170">
        <v>4.674770494757592</v>
      </c>
      <c r="AP40" s="170">
        <v>4.66531686557338</v>
      </c>
      <c r="AQ40" s="170">
        <v>4.655867422514138</v>
      </c>
      <c r="AR40" s="170">
        <v>4.646465158451254</v>
      </c>
      <c r="AS40" s="170">
        <v>4.636999443868228</v>
      </c>
      <c r="AT40" s="170">
        <v>4.6275475437791345</v>
      </c>
      <c r="AU40" s="170">
        <v>4.618087529394833</v>
      </c>
      <c r="AV40" s="170">
        <v>4.608644768458763</v>
      </c>
      <c r="AW40" s="170">
        <v>4.599176515072391</v>
      </c>
      <c r="AX40" s="170">
        <v>4.589682886760622</v>
      </c>
      <c r="AY40" s="171"/>
      <c r="AZ40" s="171"/>
      <c r="BA40" s="171"/>
      <c r="BB40" s="171"/>
      <c r="BC40" s="171"/>
      <c r="BD40" s="171"/>
      <c r="BE40" s="171"/>
      <c r="BF40" s="171"/>
    </row>
    <row r="41" spans="1:58" ht="15.75">
      <c r="A41" s="167">
        <v>7.800000000000001</v>
      </c>
      <c r="B41" s="170">
        <v>4.912275901322164</v>
      </c>
      <c r="C41" s="170">
        <v>5.038285574175127</v>
      </c>
      <c r="D41" s="170">
        <v>5.0290467839102675</v>
      </c>
      <c r="E41" s="170">
        <v>5.018790352878739</v>
      </c>
      <c r="F41" s="170">
        <v>5.009746330798403</v>
      </c>
      <c r="G41" s="170">
        <v>5.00088401772108</v>
      </c>
      <c r="H41" s="170">
        <v>4.9886910495447685</v>
      </c>
      <c r="I41" s="170">
        <v>4.9796187042476845</v>
      </c>
      <c r="J41" s="170">
        <v>4.970917248650097</v>
      </c>
      <c r="K41" s="170">
        <v>4.961825183266718</v>
      </c>
      <c r="L41" s="170">
        <v>4.952621914038056</v>
      </c>
      <c r="M41" s="170">
        <v>4.943430598950079</v>
      </c>
      <c r="N41" s="170">
        <v>4.93442493180156</v>
      </c>
      <c r="O41" s="170">
        <v>4.925254610891713</v>
      </c>
      <c r="P41" s="170">
        <v>4.916008174473637</v>
      </c>
      <c r="Q41" s="170">
        <v>4.9066494099436095</v>
      </c>
      <c r="R41" s="170">
        <v>4.897326261638147</v>
      </c>
      <c r="S41" s="170">
        <v>4.887919875888033</v>
      </c>
      <c r="T41" s="170">
        <v>4.878458234732501</v>
      </c>
      <c r="U41" s="170">
        <v>4.869025748892766</v>
      </c>
      <c r="V41" s="170">
        <v>4.859632480950301</v>
      </c>
      <c r="W41" s="170">
        <v>4.850154555943824</v>
      </c>
      <c r="X41" s="170">
        <v>4.840775581853766</v>
      </c>
      <c r="Y41" s="170">
        <v>4.831336941581728</v>
      </c>
      <c r="Z41" s="170">
        <v>4.8218815265683235</v>
      </c>
      <c r="AA41" s="170">
        <v>4.812409687368903</v>
      </c>
      <c r="AB41" s="170">
        <v>4.802974981770633</v>
      </c>
      <c r="AC41" s="170">
        <v>4.793562678502577</v>
      </c>
      <c r="AD41" s="170">
        <v>4.7841325721722</v>
      </c>
      <c r="AE41" s="170">
        <v>4.77475601128784</v>
      </c>
      <c r="AF41" s="170">
        <v>4.765338866482704</v>
      </c>
      <c r="AG41" s="170">
        <v>4.755925024971897</v>
      </c>
      <c r="AH41" s="170">
        <v>4.746556588200342</v>
      </c>
      <c r="AI41" s="170">
        <v>4.7371012307756475</v>
      </c>
      <c r="AJ41" s="170">
        <v>4.727731819773591</v>
      </c>
      <c r="AK41" s="170">
        <v>4.718266113125809</v>
      </c>
      <c r="AL41" s="170">
        <v>4.708892372095497</v>
      </c>
      <c r="AM41" s="170">
        <v>4.699395949214401</v>
      </c>
      <c r="AN41" s="170">
        <v>4.690031121727872</v>
      </c>
      <c r="AO41" s="170">
        <v>4.680614020683406</v>
      </c>
      <c r="AP41" s="170">
        <v>4.671143647267947</v>
      </c>
      <c r="AQ41" s="170">
        <v>4.661744264843593</v>
      </c>
      <c r="AR41" s="170">
        <v>4.65233035855227</v>
      </c>
      <c r="AS41" s="170">
        <v>4.642889160208435</v>
      </c>
      <c r="AT41" s="170">
        <v>4.633439711310601</v>
      </c>
      <c r="AU41" s="170">
        <v>4.624002487893707</v>
      </c>
      <c r="AV41" s="170">
        <v>4.6145476592199834</v>
      </c>
      <c r="AW41" s="170">
        <v>4.605100386701379</v>
      </c>
      <c r="AX41" s="170">
        <v>4.595631901626846</v>
      </c>
      <c r="AY41" s="171"/>
      <c r="AZ41" s="171"/>
      <c r="BA41" s="171"/>
      <c r="BB41" s="171"/>
      <c r="BC41" s="171"/>
      <c r="BD41" s="171"/>
      <c r="BE41" s="171"/>
      <c r="BF41" s="171"/>
    </row>
    <row r="42" spans="1:58" ht="15.75">
      <c r="A42" s="167">
        <v>8</v>
      </c>
      <c r="B42" s="170">
        <v>5.3416984045411855</v>
      </c>
      <c r="C42" s="170">
        <v>5.043924922299028</v>
      </c>
      <c r="D42" s="170">
        <v>5.034872102385484</v>
      </c>
      <c r="E42" s="170">
        <v>5.024858275498111</v>
      </c>
      <c r="F42" s="170">
        <v>5.015972561805835</v>
      </c>
      <c r="G42" s="170">
        <v>5.006862098655117</v>
      </c>
      <c r="H42" s="170">
        <v>4.994741564406708</v>
      </c>
      <c r="I42" s="170">
        <v>4.985808814994402</v>
      </c>
      <c r="J42" s="170">
        <v>4.977146655014944</v>
      </c>
      <c r="K42" s="170">
        <v>4.9678795122712724</v>
      </c>
      <c r="L42" s="170">
        <v>4.9587087175073785</v>
      </c>
      <c r="M42" s="170">
        <v>4.9495444866494145</v>
      </c>
      <c r="N42" s="170">
        <v>4.940300870510291</v>
      </c>
      <c r="O42" s="170">
        <v>4.931279093857199</v>
      </c>
      <c r="P42" s="170">
        <v>4.9218966722008215</v>
      </c>
      <c r="Q42" s="170">
        <v>4.9124858994288925</v>
      </c>
      <c r="R42" s="170">
        <v>4.903140261910873</v>
      </c>
      <c r="S42" s="170">
        <v>4.8937260335305295</v>
      </c>
      <c r="T42" s="170">
        <v>4.884158410310987</v>
      </c>
      <c r="U42" s="170">
        <v>4.874682149336298</v>
      </c>
      <c r="V42" s="170">
        <v>4.865275039501491</v>
      </c>
      <c r="W42" s="170">
        <v>4.855854071926868</v>
      </c>
      <c r="X42" s="170">
        <v>4.846474795058411</v>
      </c>
      <c r="Y42" s="170">
        <v>4.836994053918084</v>
      </c>
      <c r="Z42" s="170">
        <v>4.827572932078082</v>
      </c>
      <c r="AA42" s="170">
        <v>4.818118860701146</v>
      </c>
      <c r="AB42" s="170">
        <v>4.808695393778477</v>
      </c>
      <c r="AC42" s="170">
        <v>4.799218114381895</v>
      </c>
      <c r="AD42" s="170">
        <v>4.789804190717636</v>
      </c>
      <c r="AE42" s="170">
        <v>4.780453870943041</v>
      </c>
      <c r="AF42" s="170">
        <v>4.771050139910417</v>
      </c>
      <c r="AG42" s="170">
        <v>4.761610912224179</v>
      </c>
      <c r="AH42" s="170">
        <v>4.752241112547857</v>
      </c>
      <c r="AI42" s="170">
        <v>4.7428577366880855</v>
      </c>
      <c r="AJ42" s="170">
        <v>4.733434248092065</v>
      </c>
      <c r="AK42" s="170">
        <v>4.724058824251228</v>
      </c>
      <c r="AL42" s="170">
        <v>4.714589082728981</v>
      </c>
      <c r="AM42" s="170">
        <v>4.705213087161812</v>
      </c>
      <c r="AN42" s="170">
        <v>4.695792598107113</v>
      </c>
      <c r="AO42" s="170">
        <v>4.686375058689925</v>
      </c>
      <c r="AP42" s="170">
        <v>4.676952874992845</v>
      </c>
      <c r="AQ42" s="170">
        <v>4.667568820564918</v>
      </c>
      <c r="AR42" s="170">
        <v>4.658130713553483</v>
      </c>
      <c r="AS42" s="170">
        <v>4.6486942037552</v>
      </c>
      <c r="AT42" s="170">
        <v>4.639259985896508</v>
      </c>
      <c r="AU42" s="170">
        <v>4.629874427558311</v>
      </c>
      <c r="AV42" s="170">
        <v>4.620423216053696</v>
      </c>
      <c r="AW42" s="170">
        <v>4.610979881459269</v>
      </c>
      <c r="AX42" s="170">
        <v>4.148587244345931</v>
      </c>
      <c r="AY42" s="171"/>
      <c r="AZ42" s="171"/>
      <c r="BA42" s="171"/>
      <c r="BB42" s="171"/>
      <c r="BC42" s="171"/>
      <c r="BD42" s="171"/>
      <c r="BE42" s="171"/>
      <c r="BF42" s="17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3"/>
  <dimension ref="A1:BF42"/>
  <sheetViews>
    <sheetView zoomScale="75" zoomScaleNormal="75" zoomScalePageLayoutView="0" workbookViewId="0" topLeftCell="A1">
      <selection activeCell="B2" sqref="B2:AX42"/>
    </sheetView>
  </sheetViews>
  <sheetFormatPr defaultColWidth="8.796875" defaultRowHeight="15"/>
  <cols>
    <col min="2" max="16384" width="9" style="170" customWidth="1"/>
  </cols>
  <sheetData>
    <row r="1" spans="2:58" ht="15.75">
      <c r="B1">
        <v>200</v>
      </c>
      <c r="C1">
        <v>225</v>
      </c>
      <c r="D1">
        <v>250</v>
      </c>
      <c r="E1">
        <v>275</v>
      </c>
      <c r="F1">
        <v>300</v>
      </c>
      <c r="G1">
        <v>325</v>
      </c>
      <c r="H1">
        <v>350</v>
      </c>
      <c r="I1">
        <v>375</v>
      </c>
      <c r="J1">
        <v>400</v>
      </c>
      <c r="K1">
        <v>425</v>
      </c>
      <c r="L1">
        <v>450</v>
      </c>
      <c r="M1">
        <v>475</v>
      </c>
      <c r="N1">
        <v>500</v>
      </c>
      <c r="O1">
        <v>525</v>
      </c>
      <c r="P1">
        <v>550</v>
      </c>
      <c r="Q1">
        <v>575</v>
      </c>
      <c r="R1">
        <v>600</v>
      </c>
      <c r="S1">
        <v>625</v>
      </c>
      <c r="T1">
        <v>650</v>
      </c>
      <c r="U1">
        <v>675</v>
      </c>
      <c r="V1">
        <v>700</v>
      </c>
      <c r="W1">
        <v>725</v>
      </c>
      <c r="X1">
        <v>750</v>
      </c>
      <c r="Y1">
        <v>775</v>
      </c>
      <c r="Z1">
        <v>800</v>
      </c>
      <c r="AA1">
        <v>825</v>
      </c>
      <c r="AB1">
        <v>850</v>
      </c>
      <c r="AC1">
        <v>875</v>
      </c>
      <c r="AD1">
        <v>900</v>
      </c>
      <c r="AE1">
        <v>925</v>
      </c>
      <c r="AF1">
        <v>950</v>
      </c>
      <c r="AG1">
        <v>975</v>
      </c>
      <c r="AH1">
        <v>1000</v>
      </c>
      <c r="AI1">
        <v>1025</v>
      </c>
      <c r="AJ1">
        <v>1050</v>
      </c>
      <c r="AK1">
        <v>1075</v>
      </c>
      <c r="AL1">
        <v>1100</v>
      </c>
      <c r="AM1">
        <v>1125</v>
      </c>
      <c r="AN1">
        <v>1150</v>
      </c>
      <c r="AO1">
        <v>1175</v>
      </c>
      <c r="AP1">
        <v>1200</v>
      </c>
      <c r="AQ1">
        <v>1225</v>
      </c>
      <c r="AR1">
        <v>1250</v>
      </c>
      <c r="AS1">
        <v>1275</v>
      </c>
      <c r="AT1">
        <v>1300</v>
      </c>
      <c r="AU1">
        <v>1325</v>
      </c>
      <c r="AV1">
        <v>1350</v>
      </c>
      <c r="AW1">
        <v>1375</v>
      </c>
      <c r="AX1">
        <v>1400</v>
      </c>
      <c r="AY1">
        <v>1425</v>
      </c>
      <c r="AZ1">
        <v>1450</v>
      </c>
      <c r="BA1">
        <v>1475</v>
      </c>
      <c r="BB1">
        <v>1500</v>
      </c>
      <c r="BC1">
        <v>1525</v>
      </c>
      <c r="BD1">
        <v>1550</v>
      </c>
      <c r="BE1">
        <v>1575</v>
      </c>
      <c r="BF1">
        <v>1600</v>
      </c>
    </row>
    <row r="2" spans="1:58" ht="15.75">
      <c r="A2" s="167">
        <v>0</v>
      </c>
      <c r="B2" s="170">
        <v>3.108727729475139</v>
      </c>
      <c r="F2" s="170">
        <v>2.6245658598158594</v>
      </c>
      <c r="J2" s="170">
        <v>2.61515615613889</v>
      </c>
      <c r="N2" s="170">
        <v>2.568503332573555</v>
      </c>
      <c r="P2" s="170">
        <v>2.586183519293585</v>
      </c>
      <c r="R2" s="170">
        <v>2.5354389717830186</v>
      </c>
      <c r="V2" s="170">
        <v>2.535373712547464</v>
      </c>
      <c r="Z2" s="170">
        <v>2.5353529235311183</v>
      </c>
      <c r="AD2" s="170">
        <v>2.5353405630561032</v>
      </c>
      <c r="AH2" s="170">
        <v>2.53533183616783</v>
      </c>
      <c r="AL2" s="170">
        <v>2.535325126953431</v>
      </c>
      <c r="AP2" s="170">
        <v>3.0771818397541946</v>
      </c>
      <c r="AY2" s="171"/>
      <c r="AZ2" s="171"/>
      <c r="BA2" s="171"/>
      <c r="BB2" s="171"/>
      <c r="BC2" s="171"/>
      <c r="BD2" s="171"/>
      <c r="BE2" s="171"/>
      <c r="BF2" s="171"/>
    </row>
    <row r="3" spans="1:58" ht="15.75">
      <c r="A3" s="167">
        <v>0.2</v>
      </c>
      <c r="B3" s="170">
        <v>2.812760119901399</v>
      </c>
      <c r="C3" s="170">
        <v>3.3423293962993372</v>
      </c>
      <c r="D3" s="170">
        <v>3.338380994406277</v>
      </c>
      <c r="E3" s="170">
        <v>3.3355521998301545</v>
      </c>
      <c r="F3" s="170">
        <v>3.3315083166803285</v>
      </c>
      <c r="G3" s="170">
        <v>3.3287958284384063</v>
      </c>
      <c r="H3" s="170">
        <v>3.3247691264746457</v>
      </c>
      <c r="I3" s="170">
        <v>3.316164469169149</v>
      </c>
      <c r="J3" s="170">
        <v>3.3103989328087775</v>
      </c>
      <c r="K3" s="170">
        <v>3.3048220630484217</v>
      </c>
      <c r="L3" s="170">
        <v>3.2876728626140657</v>
      </c>
      <c r="M3" s="170">
        <v>3.269711904611545</v>
      </c>
      <c r="N3" s="170">
        <v>2.5976890301848377</v>
      </c>
      <c r="O3" s="170">
        <v>3.2666866986428134</v>
      </c>
      <c r="P3" s="170">
        <v>3.2357819619311354</v>
      </c>
      <c r="Q3" s="170">
        <v>3.231436697755536</v>
      </c>
      <c r="R3" s="170">
        <v>3.233652565113086</v>
      </c>
      <c r="S3" s="170">
        <v>3.2172851664240523</v>
      </c>
      <c r="T3" s="170">
        <v>3.2141030380892532</v>
      </c>
      <c r="U3" s="170">
        <v>3.2110163897573334</v>
      </c>
      <c r="V3" s="170">
        <v>3.207982535398954</v>
      </c>
      <c r="W3" s="170">
        <v>3.2049718119761983</v>
      </c>
      <c r="X3" s="170">
        <v>3.202233140161479</v>
      </c>
      <c r="Y3" s="170">
        <v>3.207395135459865</v>
      </c>
      <c r="Z3" s="170">
        <v>3.197599915374279</v>
      </c>
      <c r="AA3" s="170">
        <v>3.195254699464898</v>
      </c>
      <c r="AB3" s="170">
        <v>3.1913004397041984</v>
      </c>
      <c r="AC3" s="170">
        <v>3.1899256963858114</v>
      </c>
      <c r="AD3" s="170">
        <v>3.1885606684910996</v>
      </c>
      <c r="AE3" s="170">
        <v>3.186515742612298</v>
      </c>
      <c r="AF3" s="170">
        <v>3.1845421384511803</v>
      </c>
      <c r="AG3" s="170">
        <v>3.17909802937819</v>
      </c>
      <c r="AH3" s="170">
        <v>3.1781954411678273</v>
      </c>
      <c r="AI3" s="170">
        <v>3.1728935656127484</v>
      </c>
      <c r="AJ3" s="170">
        <v>3.1701251874011804</v>
      </c>
      <c r="AK3" s="170">
        <v>3.167320397887902</v>
      </c>
      <c r="AL3" s="170">
        <v>3.164684960884294</v>
      </c>
      <c r="AM3" s="170">
        <v>3.161982705062132</v>
      </c>
      <c r="AN3" s="170">
        <v>3.159163403720997</v>
      </c>
      <c r="AO3" s="170">
        <v>3.1563618266232836</v>
      </c>
      <c r="AP3" s="170">
        <v>3.1554417741900957</v>
      </c>
      <c r="AQ3" s="170">
        <v>3.150933908133732</v>
      </c>
      <c r="AR3" s="170">
        <v>3.148047646134519</v>
      </c>
      <c r="AS3" s="170">
        <v>3.145236907711196</v>
      </c>
      <c r="AT3" s="170">
        <v>3.1439672258184728</v>
      </c>
      <c r="AU3" s="170">
        <v>3.1396727498542885</v>
      </c>
      <c r="AV3" s="170">
        <v>3.1368216334045096</v>
      </c>
      <c r="AW3" s="170">
        <v>3.1341082142123224</v>
      </c>
      <c r="AX3" s="170">
        <v>3.13110087878533</v>
      </c>
      <c r="AY3" s="171"/>
      <c r="AZ3" s="171"/>
      <c r="BA3" s="171"/>
      <c r="BB3" s="171"/>
      <c r="BC3" s="171"/>
      <c r="BD3" s="171"/>
      <c r="BE3" s="171"/>
      <c r="BF3" s="171"/>
    </row>
    <row r="4" spans="1:58" ht="15.75">
      <c r="A4" s="167">
        <v>0.4</v>
      </c>
      <c r="B4" s="170">
        <v>3.3620090729780037</v>
      </c>
      <c r="C4" s="170">
        <v>3.358808697358689</v>
      </c>
      <c r="D4" s="170">
        <v>3.3558037290747498</v>
      </c>
      <c r="E4" s="170">
        <v>3.346260960021323</v>
      </c>
      <c r="F4" s="170">
        <v>3.3430104505402696</v>
      </c>
      <c r="G4" s="170">
        <v>3.339517580497608</v>
      </c>
      <c r="H4" s="170">
        <v>3.3366092654976103</v>
      </c>
      <c r="I4" s="170">
        <v>3.3330487596850933</v>
      </c>
      <c r="J4" s="170">
        <v>3.3277712341793073</v>
      </c>
      <c r="K4" s="170">
        <v>3.319958153479268</v>
      </c>
      <c r="L4" s="170">
        <v>3.3138280868464958</v>
      </c>
      <c r="M4" s="170">
        <v>3.3112718134992667</v>
      </c>
      <c r="N4" s="170">
        <v>3.306425571112288</v>
      </c>
      <c r="O4" s="170">
        <v>3.275993878251264</v>
      </c>
      <c r="P4" s="170">
        <v>3.0808329019145195</v>
      </c>
      <c r="Q4" s="170">
        <v>3.2696182040884585</v>
      </c>
      <c r="R4" s="170">
        <v>3.2684754529919906</v>
      </c>
      <c r="S4" s="170">
        <v>3.273027497386407</v>
      </c>
      <c r="T4" s="170">
        <v>3.2653672928919413</v>
      </c>
      <c r="U4" s="170">
        <v>3.255684167886692</v>
      </c>
      <c r="V4" s="170">
        <v>3.246079226639318</v>
      </c>
      <c r="W4" s="170">
        <v>3.2380300808709985</v>
      </c>
      <c r="X4" s="170">
        <v>3.2324184604602157</v>
      </c>
      <c r="Y4" s="170">
        <v>3.238541610533608</v>
      </c>
      <c r="Z4" s="170">
        <v>3.2244337123656375</v>
      </c>
      <c r="AA4" s="170">
        <v>3.227328364450837</v>
      </c>
      <c r="AB4" s="170">
        <v>3.2136312493651102</v>
      </c>
      <c r="AC4" s="170">
        <v>3.2099253838766315</v>
      </c>
      <c r="AD4" s="170">
        <v>3.212298550637455</v>
      </c>
      <c r="AE4" s="170">
        <v>3.204460365264323</v>
      </c>
      <c r="AF4" s="170">
        <v>3.207413620234216</v>
      </c>
      <c r="AG4" s="170">
        <v>3.197483155778052</v>
      </c>
      <c r="AH4" s="170">
        <v>3.228639307982902</v>
      </c>
      <c r="AI4" s="170">
        <v>3.190753267839857</v>
      </c>
      <c r="AJ4" s="170">
        <v>3.1875788885887886</v>
      </c>
      <c r="AK4" s="170">
        <v>3.185075848017102</v>
      </c>
      <c r="AL4" s="170">
        <v>3.1825350656769302</v>
      </c>
      <c r="AM4" s="170">
        <v>3.1795408907559946</v>
      </c>
      <c r="AN4" s="170">
        <v>3.176558650118959</v>
      </c>
      <c r="AO4" s="170">
        <v>3.173636851430277</v>
      </c>
      <c r="AP4" s="170">
        <v>3.171453589408991</v>
      </c>
      <c r="AQ4" s="170">
        <v>3.167898696563897</v>
      </c>
      <c r="AR4" s="170">
        <v>3.1649456116349497</v>
      </c>
      <c r="AS4" s="170">
        <v>3.1618441628827263</v>
      </c>
      <c r="AT4" s="170">
        <v>3.159120663348355</v>
      </c>
      <c r="AU4" s="170">
        <v>3.156085121920881</v>
      </c>
      <c r="AV4" s="170">
        <v>3.1531660271003497</v>
      </c>
      <c r="AW4" s="170">
        <v>3.1502595964746036</v>
      </c>
      <c r="AX4" s="170">
        <v>3.1472871880445443</v>
      </c>
      <c r="AY4" s="171"/>
      <c r="AZ4" s="171"/>
      <c r="BA4" s="171"/>
      <c r="BB4" s="171"/>
      <c r="BC4" s="171"/>
      <c r="BD4" s="171"/>
      <c r="BE4" s="171"/>
      <c r="BF4" s="171"/>
    </row>
    <row r="5" spans="1:58" ht="15.75">
      <c r="A5" s="167">
        <v>0.6000000000000001</v>
      </c>
      <c r="B5" s="170">
        <v>2.6810622257786973</v>
      </c>
      <c r="C5" s="170">
        <v>3.33334148457001</v>
      </c>
      <c r="D5" s="170">
        <v>3.3306220639267394</v>
      </c>
      <c r="E5" s="170">
        <v>3.357747972163977</v>
      </c>
      <c r="F5" s="170">
        <v>2.812609262478212</v>
      </c>
      <c r="G5" s="170">
        <v>3.349874155375961</v>
      </c>
      <c r="H5" s="170">
        <v>2.9587673506787313</v>
      </c>
      <c r="I5" s="170">
        <v>3.3425058503164125</v>
      </c>
      <c r="J5" s="170">
        <v>3.3388938959934515</v>
      </c>
      <c r="K5" s="170">
        <v>3.335198901437158</v>
      </c>
      <c r="L5" s="170">
        <v>3.3264937703196025</v>
      </c>
      <c r="M5" s="170">
        <v>3.324340743637537</v>
      </c>
      <c r="N5" s="170">
        <v>3.316278932911416</v>
      </c>
      <c r="O5" s="170">
        <v>3.3144688667845355</v>
      </c>
      <c r="P5" s="170">
        <v>2.790252360696026</v>
      </c>
      <c r="Q5" s="170">
        <v>3.3051532546141718</v>
      </c>
      <c r="R5" s="170">
        <v>3.3027500546925808</v>
      </c>
      <c r="S5" s="170">
        <v>3.2993078149974315</v>
      </c>
      <c r="T5" s="170">
        <v>3.29456986402244</v>
      </c>
      <c r="U5" s="170">
        <v>3.288452157413152</v>
      </c>
      <c r="V5" s="170">
        <v>2.97454152127239</v>
      </c>
      <c r="W5" s="170">
        <v>3.2781122107329064</v>
      </c>
      <c r="X5" s="170">
        <v>2.6005959366079603</v>
      </c>
      <c r="Y5" s="170">
        <v>3.256400446422842</v>
      </c>
      <c r="Z5" s="170">
        <v>3.2618958850860804</v>
      </c>
      <c r="AA5" s="170">
        <v>3.256029079565629</v>
      </c>
      <c r="AB5" s="170">
        <v>3.2512661563084344</v>
      </c>
      <c r="AC5" s="170">
        <v>3.245678399081246</v>
      </c>
      <c r="AD5" s="170">
        <v>3.2395321955846677</v>
      </c>
      <c r="AE5" s="170">
        <v>3.232434215938042</v>
      </c>
      <c r="AF5" s="170">
        <v>3.2274553816638516</v>
      </c>
      <c r="AG5" s="170">
        <v>3.2270168401780044</v>
      </c>
      <c r="AH5" s="170">
        <v>3.2231317180941574</v>
      </c>
      <c r="AI5" s="170">
        <v>3.218516033676573</v>
      </c>
      <c r="AJ5" s="170">
        <v>3.21450740039027</v>
      </c>
      <c r="AK5" s="170">
        <v>3.210612739183819</v>
      </c>
      <c r="AL5" s="170">
        <v>3.2069042589344336</v>
      </c>
      <c r="AM5" s="170">
        <v>3.203226307269659</v>
      </c>
      <c r="AN5" s="170">
        <v>3.199439424774377</v>
      </c>
      <c r="AO5" s="170">
        <v>3.196028722871205</v>
      </c>
      <c r="AP5" s="170">
        <v>3.1922458516112067</v>
      </c>
      <c r="AQ5" s="170">
        <v>3.1890622345683886</v>
      </c>
      <c r="AR5" s="170">
        <v>3.185680529409315</v>
      </c>
      <c r="AS5" s="170">
        <v>3.1821950774258103</v>
      </c>
      <c r="AT5" s="170">
        <v>3.179190886760836</v>
      </c>
      <c r="AU5" s="170">
        <v>3.175674144959581</v>
      </c>
      <c r="AV5" s="170">
        <v>3.172318520211373</v>
      </c>
      <c r="AW5" s="170">
        <v>3.1690301938312593</v>
      </c>
      <c r="AX5" s="170">
        <v>3.165801213189061</v>
      </c>
      <c r="AY5" s="171"/>
      <c r="AZ5" s="171"/>
      <c r="BA5" s="171"/>
      <c r="BB5" s="171"/>
      <c r="BC5" s="171"/>
      <c r="BD5" s="171"/>
      <c r="BE5" s="171"/>
      <c r="BF5" s="171"/>
    </row>
    <row r="6" spans="1:58" ht="15.75">
      <c r="A6" s="167">
        <v>0.8</v>
      </c>
      <c r="B6" s="170">
        <v>3.3740121786072423</v>
      </c>
      <c r="C6" s="170">
        <v>3.3707359656830613</v>
      </c>
      <c r="D6" s="170">
        <v>3.3674567511686635</v>
      </c>
      <c r="E6" s="170">
        <v>3.3636211456341423</v>
      </c>
      <c r="F6" s="170">
        <v>3.3604318370540676</v>
      </c>
      <c r="G6" s="170">
        <v>3.355640687527943</v>
      </c>
      <c r="H6" s="170">
        <v>3.3519683022994387</v>
      </c>
      <c r="I6" s="170">
        <v>3.348254886563175</v>
      </c>
      <c r="J6" s="170">
        <v>3.344684844186709</v>
      </c>
      <c r="K6" s="170">
        <v>3.3410639612428485</v>
      </c>
      <c r="L6" s="170">
        <v>3.337361230900145</v>
      </c>
      <c r="M6" s="170">
        <v>3.3337449423611774</v>
      </c>
      <c r="N6" s="170">
        <v>3.3281854541879503</v>
      </c>
      <c r="O6" s="170">
        <v>3.324860400603498</v>
      </c>
      <c r="P6" s="170">
        <v>3.3219840127461215</v>
      </c>
      <c r="Q6" s="170">
        <v>3.3186912285878765</v>
      </c>
      <c r="R6" s="170">
        <v>3.3115185139111665</v>
      </c>
      <c r="S6" s="170">
        <v>3.3118034192587094</v>
      </c>
      <c r="T6" s="170">
        <v>3.307654688444442</v>
      </c>
      <c r="U6" s="170">
        <v>3.30383534251555</v>
      </c>
      <c r="V6" s="170">
        <v>3.300012817676812</v>
      </c>
      <c r="W6" s="170">
        <v>3.29618465515796</v>
      </c>
      <c r="X6" s="170">
        <v>3.292185579899538</v>
      </c>
      <c r="Y6" s="170">
        <v>3.2810239399326386</v>
      </c>
      <c r="Z6" s="170">
        <v>3.015065281622115</v>
      </c>
      <c r="AA6" s="170">
        <v>3.2736550254577943</v>
      </c>
      <c r="AB6" s="170">
        <v>3.2725681718628654</v>
      </c>
      <c r="AC6" s="170">
        <v>3.2679735281495597</v>
      </c>
      <c r="AD6" s="170">
        <v>3.263367701354878</v>
      </c>
      <c r="AE6" s="170">
        <v>3.2588165823160637</v>
      </c>
      <c r="AF6" s="170">
        <v>3.254270111031789</v>
      </c>
      <c r="AG6" s="170">
        <v>3.24617746297568</v>
      </c>
      <c r="AH6" s="170">
        <v>2.8896280411770756</v>
      </c>
      <c r="AI6" s="170">
        <v>3.242263086017538</v>
      </c>
      <c r="AJ6" s="170">
        <v>3.237061702519728</v>
      </c>
      <c r="AK6" s="170">
        <v>3.2332456905053317</v>
      </c>
      <c r="AL6" s="170">
        <v>3.228147211628366</v>
      </c>
      <c r="AM6" s="170">
        <v>3.2237559890767025</v>
      </c>
      <c r="AN6" s="170">
        <v>3.219410852857312</v>
      </c>
      <c r="AO6" s="170">
        <v>3.214949823617493</v>
      </c>
      <c r="AP6" s="170">
        <v>3.2114567563596137</v>
      </c>
      <c r="AQ6" s="170">
        <v>3.2093066210408874</v>
      </c>
      <c r="AR6" s="170">
        <v>3.2054598049158267</v>
      </c>
      <c r="AS6" s="170">
        <v>3.2017396626134755</v>
      </c>
      <c r="AT6" s="170">
        <v>3.195942630121968</v>
      </c>
      <c r="AU6" s="170">
        <v>3.1929457976889406</v>
      </c>
      <c r="AV6" s="170">
        <v>3.1907303556695514</v>
      </c>
      <c r="AW6" s="170">
        <v>3.1871496759054883</v>
      </c>
      <c r="AX6" s="170">
        <v>3.1836541468414596</v>
      </c>
      <c r="AY6" s="171"/>
      <c r="AZ6" s="171"/>
      <c r="BA6" s="171"/>
      <c r="BB6" s="171"/>
      <c r="BC6" s="171"/>
      <c r="BD6" s="171"/>
      <c r="BE6" s="171"/>
      <c r="BF6" s="171"/>
    </row>
    <row r="7" spans="1:58" ht="15.75">
      <c r="A7" s="167">
        <v>1</v>
      </c>
      <c r="B7" s="170">
        <v>3.48096388601731</v>
      </c>
      <c r="C7" s="170">
        <v>3.3763061567165957</v>
      </c>
      <c r="D7" s="170">
        <v>3.3730689437022345</v>
      </c>
      <c r="E7" s="170">
        <v>3.3692474119288813</v>
      </c>
      <c r="F7" s="170">
        <v>3.366053801229459</v>
      </c>
      <c r="G7" s="170">
        <v>3.3354831182641753</v>
      </c>
      <c r="H7" s="170">
        <v>3.3577779085755752</v>
      </c>
      <c r="I7" s="170">
        <v>3.3297656957408486</v>
      </c>
      <c r="J7" s="170">
        <v>3.3504850409975666</v>
      </c>
      <c r="K7" s="170">
        <v>3.323916227690715</v>
      </c>
      <c r="L7" s="170">
        <v>2.968674413306193</v>
      </c>
      <c r="M7" s="170">
        <v>3.3179509005411054</v>
      </c>
      <c r="N7" s="170">
        <v>3.3359552786823166</v>
      </c>
      <c r="O7" s="170">
        <v>3.332343232657973</v>
      </c>
      <c r="P7" s="170">
        <v>3.328707211910619</v>
      </c>
      <c r="Q7" s="170">
        <v>3.3250821840254923</v>
      </c>
      <c r="R7" s="170">
        <v>3.3026147557052825</v>
      </c>
      <c r="S7" s="170">
        <v>3.3178040521546786</v>
      </c>
      <c r="T7" s="170">
        <v>3.314168804572697</v>
      </c>
      <c r="U7" s="170">
        <v>2.8000754712420473</v>
      </c>
      <c r="V7" s="170">
        <v>3.306986722044041</v>
      </c>
      <c r="W7" s="170">
        <v>3.3033920403017714</v>
      </c>
      <c r="X7" s="170">
        <v>3.2997851542873193</v>
      </c>
      <c r="Y7" s="170">
        <v>3.294907252888951</v>
      </c>
      <c r="Z7" s="170">
        <v>2.7873531302001813</v>
      </c>
      <c r="AA7" s="170">
        <v>3.2866332542555092</v>
      </c>
      <c r="AB7" s="170">
        <v>3.0886280000982658</v>
      </c>
      <c r="AC7" s="170">
        <v>3.4092274409904464</v>
      </c>
      <c r="AD7" s="170">
        <v>2.599113906861814</v>
      </c>
      <c r="AE7" s="170">
        <v>3.3041270982179323</v>
      </c>
      <c r="AF7" s="170">
        <v>3.41169260697957</v>
      </c>
      <c r="AG7" s="170">
        <v>3.340688159507703</v>
      </c>
      <c r="AH7" s="170">
        <v>3.2266890977331957</v>
      </c>
      <c r="AI7" s="170">
        <v>3.2541238585567935</v>
      </c>
      <c r="AJ7" s="170">
        <v>3.2170882121862547</v>
      </c>
      <c r="AK7" s="170">
        <v>3.24875762079277</v>
      </c>
      <c r="AL7" s="170">
        <v>2.9997147898527454</v>
      </c>
      <c r="AM7" s="170">
        <v>3.2406940642955333</v>
      </c>
      <c r="AN7" s="170">
        <v>3.000334200439578</v>
      </c>
      <c r="AO7" s="170">
        <v>3.2331975570634746</v>
      </c>
      <c r="AP7" s="170">
        <v>2.810765050609734</v>
      </c>
      <c r="AQ7" s="170">
        <v>3.2256075641434623</v>
      </c>
      <c r="AR7" s="170">
        <v>3.22168131555107</v>
      </c>
      <c r="AS7" s="170">
        <v>3.2175010859275575</v>
      </c>
      <c r="AT7" s="170">
        <v>3.213881743247322</v>
      </c>
      <c r="AU7" s="170">
        <v>3.210253670022577</v>
      </c>
      <c r="AV7" s="170">
        <v>3.206208463658548</v>
      </c>
      <c r="AW7" s="170">
        <v>3.202664617317872</v>
      </c>
      <c r="AX7" s="170">
        <v>3.1989423057823165</v>
      </c>
      <c r="AY7" s="171"/>
      <c r="AZ7" s="171"/>
      <c r="BA7" s="171"/>
      <c r="BB7" s="171"/>
      <c r="BC7" s="171"/>
      <c r="BD7" s="171"/>
      <c r="BE7" s="171"/>
      <c r="BF7" s="171"/>
    </row>
    <row r="8" spans="1:58" ht="15.75">
      <c r="A8" s="167">
        <v>1.2000000000000002</v>
      </c>
      <c r="B8" s="170">
        <v>3.3814660098303917</v>
      </c>
      <c r="C8" s="170">
        <v>3.3807201538537237</v>
      </c>
      <c r="D8" s="170">
        <v>3.3767008660911</v>
      </c>
      <c r="E8" s="170">
        <v>3.3751870560855295</v>
      </c>
      <c r="F8" s="170">
        <v>3.371782914714103</v>
      </c>
      <c r="G8" s="170">
        <v>3.367088725243428</v>
      </c>
      <c r="H8" s="170">
        <v>3.3634768630469734</v>
      </c>
      <c r="I8" s="170">
        <v>3.3598774400830105</v>
      </c>
      <c r="J8" s="170">
        <v>3.356230631745123</v>
      </c>
      <c r="K8" s="170">
        <v>3.352513267388252</v>
      </c>
      <c r="L8" s="170">
        <v>3.349014910098896</v>
      </c>
      <c r="M8" s="170">
        <v>3.3453961487019295</v>
      </c>
      <c r="N8" s="170">
        <v>3.341787734876027</v>
      </c>
      <c r="O8" s="170">
        <v>3.338188639690849</v>
      </c>
      <c r="P8" s="170">
        <v>3.334594743669247</v>
      </c>
      <c r="Q8" s="170">
        <v>3.3309999900631184</v>
      </c>
      <c r="R8" s="170">
        <v>3.3274146313724966</v>
      </c>
      <c r="S8" s="170">
        <v>3.3064018806121624</v>
      </c>
      <c r="T8" s="170">
        <v>3.3032846157764086</v>
      </c>
      <c r="U8" s="170">
        <v>3.3166058206877715</v>
      </c>
      <c r="V8" s="170">
        <v>3.2970005970196836</v>
      </c>
      <c r="W8" s="170">
        <v>3.309447091199161</v>
      </c>
      <c r="X8" s="170">
        <v>3.305895658420184</v>
      </c>
      <c r="Y8" s="170">
        <v>3.3023441578092148</v>
      </c>
      <c r="Z8" s="170">
        <v>2.7981312894335604</v>
      </c>
      <c r="AA8" s="170">
        <v>3.2953050548460037</v>
      </c>
      <c r="AB8" s="170">
        <v>3.2917739147162273</v>
      </c>
      <c r="AC8" s="170">
        <v>3.2882987937838184</v>
      </c>
      <c r="AD8" s="170">
        <v>2.5659913214447587</v>
      </c>
      <c r="AE8" s="170">
        <v>3.2813043319875317</v>
      </c>
      <c r="AF8" s="170">
        <v>3.2778537398407264</v>
      </c>
      <c r="AG8" s="170">
        <v>3.2743867155945683</v>
      </c>
      <c r="AH8" s="170">
        <v>2.5613639734138176</v>
      </c>
      <c r="AI8" s="170">
        <v>3.2675098828194864</v>
      </c>
      <c r="AJ8" s="170">
        <v>3.264093338505063</v>
      </c>
      <c r="AK8" s="170">
        <v>3.260449251579509</v>
      </c>
      <c r="AL8" s="170">
        <v>3.5513798850264764</v>
      </c>
      <c r="AM8" s="170">
        <v>3.253489387515089</v>
      </c>
      <c r="AN8" s="170">
        <v>3.2498739042808618</v>
      </c>
      <c r="AO8" s="170">
        <v>3.246284637257516</v>
      </c>
      <c r="AP8" s="170">
        <v>3.2407000097973384</v>
      </c>
      <c r="AQ8" s="170">
        <v>3.237395437355785</v>
      </c>
      <c r="AR8" s="170">
        <v>3.23390604990783</v>
      </c>
      <c r="AS8" s="170">
        <v>3.2312997147031024</v>
      </c>
      <c r="AT8" s="170">
        <v>3.2276237857855605</v>
      </c>
      <c r="AU8" s="170">
        <v>3.2241305644612</v>
      </c>
      <c r="AV8" s="170">
        <v>3.2203773772617006</v>
      </c>
      <c r="AW8" s="170">
        <v>3.2167216512695522</v>
      </c>
      <c r="AX8" s="170">
        <v>3.2131374930355774</v>
      </c>
      <c r="AY8" s="171"/>
      <c r="AZ8" s="171"/>
      <c r="BA8" s="171"/>
      <c r="BB8" s="171"/>
      <c r="BC8" s="171"/>
      <c r="BD8" s="171"/>
      <c r="BE8" s="171"/>
      <c r="BF8" s="171"/>
    </row>
    <row r="9" spans="1:58" ht="15.75">
      <c r="A9" s="167">
        <v>1.4000000000000001</v>
      </c>
      <c r="B9" s="170">
        <v>3.373373878952249</v>
      </c>
      <c r="C9" s="170">
        <v>3.3685807458467645</v>
      </c>
      <c r="D9" s="170">
        <v>3.3758253865933687</v>
      </c>
      <c r="E9" s="170">
        <v>3.386692864043792</v>
      </c>
      <c r="F9" s="170">
        <v>3.38224056805497</v>
      </c>
      <c r="G9" s="170">
        <v>3.37818333191678</v>
      </c>
      <c r="H9" s="170">
        <v>3.3716326006721284</v>
      </c>
      <c r="I9" s="170">
        <v>3.368743070807188</v>
      </c>
      <c r="J9" s="170">
        <v>3.3653126771375077</v>
      </c>
      <c r="K9" s="170">
        <v>3.361694446621218</v>
      </c>
      <c r="L9" s="170">
        <v>3.3584107832009154</v>
      </c>
      <c r="M9" s="170">
        <v>3.353669914239337</v>
      </c>
      <c r="N9" s="170">
        <v>3.3503805451900988</v>
      </c>
      <c r="O9" s="170">
        <v>3.3455186782806345</v>
      </c>
      <c r="P9" s="170">
        <v>3.3420623751032315</v>
      </c>
      <c r="Q9" s="170">
        <v>3.3377226726562035</v>
      </c>
      <c r="R9" s="170">
        <v>3.33395619143829</v>
      </c>
      <c r="S9" s="170">
        <v>3.329696057226811</v>
      </c>
      <c r="T9" s="170">
        <v>3.326145612697783</v>
      </c>
      <c r="U9" s="170">
        <v>3.3225500119014093</v>
      </c>
      <c r="V9" s="170">
        <v>3.319007407482526</v>
      </c>
      <c r="W9" s="170">
        <v>3.315460450504752</v>
      </c>
      <c r="X9" s="170">
        <v>3.311937621144717</v>
      </c>
      <c r="Y9" s="170">
        <v>3.308419280764086</v>
      </c>
      <c r="Z9" s="170">
        <v>3.3049499433615543</v>
      </c>
      <c r="AA9" s="170">
        <v>3.301417552621894</v>
      </c>
      <c r="AB9" s="170">
        <v>3.2979241189244655</v>
      </c>
      <c r="AC9" s="170">
        <v>3.294427356736041</v>
      </c>
      <c r="AD9" s="170">
        <v>3.2909799899089553</v>
      </c>
      <c r="AE9" s="170">
        <v>3.287548511036413</v>
      </c>
      <c r="AF9" s="170">
        <v>3.2841014348131305</v>
      </c>
      <c r="AG9" s="170">
        <v>3.280672368347218</v>
      </c>
      <c r="AH9" s="170">
        <v>3.277252829581574</v>
      </c>
      <c r="AI9" s="170">
        <v>3.273856930537583</v>
      </c>
      <c r="AJ9" s="170">
        <v>3.270464965845325</v>
      </c>
      <c r="AK9" s="170">
        <v>3.2670777412544947</v>
      </c>
      <c r="AL9" s="170">
        <v>2.9167343228830127</v>
      </c>
      <c r="AM9" s="170">
        <v>3.2603784289512987</v>
      </c>
      <c r="AN9" s="170">
        <v>3.2569973944043604</v>
      </c>
      <c r="AO9" s="170">
        <v>3.2536550395836366</v>
      </c>
      <c r="AP9" s="170">
        <v>3.249172585613963</v>
      </c>
      <c r="AQ9" s="170">
        <v>3.246968579123837</v>
      </c>
      <c r="AR9" s="170">
        <v>3.2436368193797582</v>
      </c>
      <c r="AS9" s="170">
        <v>3.240314249641619</v>
      </c>
      <c r="AT9" s="170">
        <v>3.236356863368461</v>
      </c>
      <c r="AU9" s="170">
        <v>3.2336336766020315</v>
      </c>
      <c r="AV9" s="170">
        <v>3.230883464607397</v>
      </c>
      <c r="AW9" s="170">
        <v>3.226968201191164</v>
      </c>
      <c r="AX9" s="170">
        <v>3.2236293058505194</v>
      </c>
      <c r="AY9" s="171"/>
      <c r="AZ9" s="171"/>
      <c r="BA9" s="171"/>
      <c r="BB9" s="171"/>
      <c r="BC9" s="171"/>
      <c r="BD9" s="171"/>
      <c r="BE9" s="171"/>
      <c r="BF9" s="171"/>
    </row>
    <row r="10" spans="1:58" ht="15.75">
      <c r="A10" s="167">
        <v>1.6</v>
      </c>
      <c r="B10" s="170">
        <v>3.406158838787381</v>
      </c>
      <c r="C10" s="170">
        <v>3.40341497317084</v>
      </c>
      <c r="D10" s="170">
        <v>3.400597618695905</v>
      </c>
      <c r="E10" s="170">
        <v>3.3977651782574085</v>
      </c>
      <c r="F10" s="170">
        <v>3.3947960212104196</v>
      </c>
      <c r="G10" s="170">
        <v>3.3920079198928783</v>
      </c>
      <c r="H10" s="170">
        <v>3.3887877795225787</v>
      </c>
      <c r="I10" s="170">
        <v>3.377873185903665</v>
      </c>
      <c r="J10" s="170">
        <v>3.3791962903132338</v>
      </c>
      <c r="K10" s="170">
        <v>3.376093924034655</v>
      </c>
      <c r="L10" s="170">
        <v>3.3727441776198273</v>
      </c>
      <c r="M10" s="170">
        <v>3.3313935590297965</v>
      </c>
      <c r="N10" s="170">
        <v>3.3620788790421607</v>
      </c>
      <c r="O10" s="170">
        <v>3.3577235225101134</v>
      </c>
      <c r="P10" s="170">
        <v>3.322426069885219</v>
      </c>
      <c r="Q10" s="170">
        <v>3.3510259046056885</v>
      </c>
      <c r="R10" s="170">
        <v>3.3465974640261718</v>
      </c>
      <c r="S10" s="170">
        <v>3.313271739983312</v>
      </c>
      <c r="T10" s="170">
        <v>3.310184069596225</v>
      </c>
      <c r="U10" s="170">
        <v>3.3362918613144354</v>
      </c>
      <c r="V10" s="170">
        <v>3.303960192773154</v>
      </c>
      <c r="W10" s="170">
        <v>3.327289073368183</v>
      </c>
      <c r="X10" s="170">
        <v>3.3222133805154814</v>
      </c>
      <c r="Y10" s="170">
        <v>3.3175031435096103</v>
      </c>
      <c r="Z10" s="170">
        <v>3.291341338885395</v>
      </c>
      <c r="AA10" s="170">
        <v>3.308652978029428</v>
      </c>
      <c r="AB10" s="170">
        <v>3.304026758427617</v>
      </c>
      <c r="AC10" s="170">
        <v>3.300571694467367</v>
      </c>
      <c r="AD10" s="170">
        <v>3.0898548625319298</v>
      </c>
      <c r="AE10" s="170">
        <v>3.293719959301038</v>
      </c>
      <c r="AF10" s="170">
        <v>3.156235061539276</v>
      </c>
      <c r="AG10" s="170">
        <v>3.286128474447862</v>
      </c>
      <c r="AH10" s="170">
        <v>3.2835078839260263</v>
      </c>
      <c r="AI10" s="170">
        <v>3.5142036851720744</v>
      </c>
      <c r="AJ10" s="170">
        <v>3.5643148938169773</v>
      </c>
      <c r="AK10" s="170">
        <v>3.273396228470468</v>
      </c>
      <c r="AL10" s="170">
        <v>3.562823113238563</v>
      </c>
      <c r="AM10" s="170">
        <v>3.266723588387993</v>
      </c>
      <c r="AN10" s="170">
        <v>3.263394029221993</v>
      </c>
      <c r="AO10" s="170">
        <v>3.260080957214821</v>
      </c>
      <c r="AP10" s="170">
        <v>3.2567872806206197</v>
      </c>
      <c r="AQ10" s="170">
        <v>3.253485672375468</v>
      </c>
      <c r="AR10" s="170">
        <v>3.250629716376515</v>
      </c>
      <c r="AS10" s="170">
        <v>3.2473102695126714</v>
      </c>
      <c r="AT10" s="170">
        <v>3.244054642243727</v>
      </c>
      <c r="AU10" s="170">
        <v>3.2407870263513927</v>
      </c>
      <c r="AV10" s="170">
        <v>3.2375416891519855</v>
      </c>
      <c r="AW10" s="170">
        <v>3.2342965854055277</v>
      </c>
      <c r="AX10" s="170">
        <v>3.2310324927993914</v>
      </c>
      <c r="AY10" s="171"/>
      <c r="AZ10" s="171"/>
      <c r="BA10" s="171"/>
      <c r="BB10" s="171"/>
      <c r="BC10" s="171"/>
      <c r="BD10" s="171"/>
      <c r="BE10" s="171"/>
      <c r="BF10" s="171"/>
    </row>
    <row r="11" spans="1:58" ht="15.75">
      <c r="A11" s="167">
        <v>1.8</v>
      </c>
      <c r="B11" s="170">
        <v>3.4119110706977986</v>
      </c>
      <c r="C11" s="170">
        <v>3.409319648047165</v>
      </c>
      <c r="D11" s="170">
        <v>3.406679176914406</v>
      </c>
      <c r="E11" s="170">
        <v>3.4035299493207902</v>
      </c>
      <c r="F11" s="170">
        <v>3.4007722262419198</v>
      </c>
      <c r="G11" s="170">
        <v>3.397953687062862</v>
      </c>
      <c r="H11" s="170">
        <v>3.3935304419335397</v>
      </c>
      <c r="I11" s="170">
        <v>3.390046188533</v>
      </c>
      <c r="J11" s="170">
        <v>3.3866260148808727</v>
      </c>
      <c r="K11" s="170">
        <v>3.382871564575503</v>
      </c>
      <c r="L11" s="170">
        <v>3.379175675494064</v>
      </c>
      <c r="M11" s="170">
        <v>3.375713980788184</v>
      </c>
      <c r="N11" s="170">
        <v>3.3724273516857592</v>
      </c>
      <c r="O11" s="170">
        <v>3.3691003047192676</v>
      </c>
      <c r="P11" s="170">
        <v>3.3655364652690225</v>
      </c>
      <c r="Q11" s="170">
        <v>3.3623396584694074</v>
      </c>
      <c r="R11" s="170">
        <v>3.3584390037789467</v>
      </c>
      <c r="S11" s="170">
        <v>3.3542664637054314</v>
      </c>
      <c r="T11" s="170">
        <v>3.3504500852782892</v>
      </c>
      <c r="U11" s="170">
        <v>3.3139627753677354</v>
      </c>
      <c r="V11" s="170">
        <v>3.439935119305211</v>
      </c>
      <c r="W11" s="170">
        <v>3.3365632446094</v>
      </c>
      <c r="X11" s="170">
        <v>3.3533931943087376</v>
      </c>
      <c r="Y11" s="170">
        <v>3.3290696187387874</v>
      </c>
      <c r="Z11" s="170">
        <v>3.3247713906657017</v>
      </c>
      <c r="AA11" s="170">
        <v>3.321353583335337</v>
      </c>
      <c r="AB11" s="170">
        <v>3.3159050499582046</v>
      </c>
      <c r="AC11" s="170">
        <v>3.3122601104680647</v>
      </c>
      <c r="AD11" s="170">
        <v>3.285693159723303</v>
      </c>
      <c r="AE11" s="170">
        <v>3.303177626249699</v>
      </c>
      <c r="AF11" s="170">
        <v>3.2979858769170365</v>
      </c>
      <c r="AG11" s="170">
        <v>3.2930295191089898</v>
      </c>
      <c r="AH11" s="170">
        <v>3.563048509870346</v>
      </c>
      <c r="AI11" s="170">
        <v>3.2863354160297855</v>
      </c>
      <c r="AJ11" s="170">
        <v>3.282997401602939</v>
      </c>
      <c r="AK11" s="170">
        <v>3.2796323641278873</v>
      </c>
      <c r="AL11" s="170">
        <v>3.276335232144114</v>
      </c>
      <c r="AM11" s="170">
        <v>3.2730443352534966</v>
      </c>
      <c r="AN11" s="170">
        <v>3.2697328172284115</v>
      </c>
      <c r="AO11" s="170">
        <v>3.2664395869400296</v>
      </c>
      <c r="AP11" s="170">
        <v>3.2631671491478746</v>
      </c>
      <c r="AQ11" s="170">
        <v>3.2599131681186675</v>
      </c>
      <c r="AR11" s="170">
        <v>3.257017949360187</v>
      </c>
      <c r="AS11" s="170">
        <v>3.253756370209161</v>
      </c>
      <c r="AT11" s="170">
        <v>3.250523168047085</v>
      </c>
      <c r="AU11" s="170">
        <v>3.247292147971165</v>
      </c>
      <c r="AV11" s="170">
        <v>3.2440817234359</v>
      </c>
      <c r="AW11" s="170">
        <v>3.2408504149894615</v>
      </c>
      <c r="AX11" s="170">
        <v>3.2376291775610744</v>
      </c>
      <c r="AY11" s="171"/>
      <c r="AZ11" s="171"/>
      <c r="BA11" s="171"/>
      <c r="BB11" s="171"/>
      <c r="BC11" s="171"/>
      <c r="BD11" s="171"/>
      <c r="BE11" s="171"/>
      <c r="BF11" s="171"/>
    </row>
    <row r="12" spans="1:58" ht="15.75">
      <c r="A12" s="167">
        <v>2</v>
      </c>
      <c r="B12" s="170">
        <v>2.877594641490701</v>
      </c>
      <c r="C12" s="170">
        <v>3.4149163644248253</v>
      </c>
      <c r="D12" s="170">
        <v>3.4122784416970173</v>
      </c>
      <c r="E12" s="170">
        <v>3.409633615774358</v>
      </c>
      <c r="F12" s="170">
        <v>3.4068416717773995</v>
      </c>
      <c r="G12" s="170">
        <v>3.4040520697331194</v>
      </c>
      <c r="H12" s="170">
        <v>3.3996187042613255</v>
      </c>
      <c r="I12" s="170">
        <v>3.3965273011011394</v>
      </c>
      <c r="J12" s="170">
        <v>3.3932611091418683</v>
      </c>
      <c r="K12" s="170">
        <v>3.390015659530477</v>
      </c>
      <c r="L12" s="170">
        <v>3.38673790367918</v>
      </c>
      <c r="M12" s="170">
        <v>3.38338474556111</v>
      </c>
      <c r="N12" s="170">
        <v>3.380034604930874</v>
      </c>
      <c r="O12" s="170">
        <v>3.3765481440267338</v>
      </c>
      <c r="P12" s="170">
        <v>3.3729185348940107</v>
      </c>
      <c r="Q12" s="170">
        <v>3.36936827120415</v>
      </c>
      <c r="R12" s="170">
        <v>3.329888322061009</v>
      </c>
      <c r="S12" s="170">
        <v>3.326875354763704</v>
      </c>
      <c r="T12" s="170">
        <v>3.3588625225399644</v>
      </c>
      <c r="U12" s="170">
        <v>3.3545177115804425</v>
      </c>
      <c r="V12" s="170">
        <v>3.4410474465211345</v>
      </c>
      <c r="W12" s="170">
        <v>3.314664626901727</v>
      </c>
      <c r="X12" s="170">
        <v>3.344132443893596</v>
      </c>
      <c r="Y12" s="170">
        <v>3.3399291183488837</v>
      </c>
      <c r="Z12" s="170">
        <v>2.90483216869656</v>
      </c>
      <c r="AA12" s="170">
        <v>3.302238921840329</v>
      </c>
      <c r="AB12" s="170">
        <v>3.3284548465278148</v>
      </c>
      <c r="AC12" s="170">
        <v>3.323759575339154</v>
      </c>
      <c r="AD12" s="170">
        <v>3.5496743276776566</v>
      </c>
      <c r="AE12" s="170">
        <v>3.2896413385684555</v>
      </c>
      <c r="AF12" s="170">
        <v>3.57630834044627</v>
      </c>
      <c r="AG12" s="170">
        <v>3.5958804007282157</v>
      </c>
      <c r="AH12" s="170">
        <v>3.565854801819006</v>
      </c>
      <c r="AI12" s="170">
        <v>3.2974071064973334</v>
      </c>
      <c r="AJ12" s="170">
        <v>3.586939592528493</v>
      </c>
      <c r="AK12" s="170">
        <v>3.287628101799924</v>
      </c>
      <c r="AL12" s="170">
        <v>3.2672822801451815</v>
      </c>
      <c r="AM12" s="170">
        <v>3.2793001583788834</v>
      </c>
      <c r="AN12" s="170">
        <v>3.5593124620387395</v>
      </c>
      <c r="AO12" s="170">
        <v>3.2727575586490247</v>
      </c>
      <c r="AP12" s="170">
        <v>3.254372043531503</v>
      </c>
      <c r="AQ12" s="170">
        <v>3.2662734075245696</v>
      </c>
      <c r="AR12" s="170">
        <v>3.2633857289562065</v>
      </c>
      <c r="AS12" s="170">
        <v>3.260147151308355</v>
      </c>
      <c r="AT12" s="170">
        <v>3.2569405424241857</v>
      </c>
      <c r="AU12" s="170">
        <v>3.2537325423542636</v>
      </c>
      <c r="AV12" s="170">
        <v>3.250527328567049</v>
      </c>
      <c r="AW12" s="170">
        <v>3.2473589659329614</v>
      </c>
      <c r="AX12" s="170">
        <v>3.244158125097873</v>
      </c>
      <c r="AY12" s="171"/>
      <c r="AZ12" s="171"/>
      <c r="BA12" s="171"/>
      <c r="BB12" s="171"/>
      <c r="BC12" s="171"/>
      <c r="BD12" s="171"/>
      <c r="BE12" s="171"/>
      <c r="BF12" s="171"/>
    </row>
    <row r="13" spans="1:58" ht="15.75">
      <c r="A13" s="167">
        <v>2.2</v>
      </c>
      <c r="B13" s="170">
        <v>3.422917463230914</v>
      </c>
      <c r="C13" s="170">
        <v>3.420428332701951</v>
      </c>
      <c r="D13" s="170">
        <v>3.4178390528365816</v>
      </c>
      <c r="E13" s="170">
        <v>3.415007173982607</v>
      </c>
      <c r="F13" s="170">
        <v>3.41236077081617</v>
      </c>
      <c r="G13" s="170">
        <v>3.4097438025693854</v>
      </c>
      <c r="H13" s="170">
        <v>3.405485914226211</v>
      </c>
      <c r="I13" s="170">
        <v>3.4024495532349124</v>
      </c>
      <c r="J13" s="170">
        <v>3.399338474046092</v>
      </c>
      <c r="K13" s="170">
        <v>3.3962551480321377</v>
      </c>
      <c r="L13" s="170">
        <v>3.3930546733851767</v>
      </c>
      <c r="M13" s="170">
        <v>3.389714016157386</v>
      </c>
      <c r="N13" s="170">
        <v>3.3864722293932705</v>
      </c>
      <c r="O13" s="170">
        <v>3.3832582347225837</v>
      </c>
      <c r="P13" s="170">
        <v>3.3799428511724483</v>
      </c>
      <c r="Q13" s="170">
        <v>3.3766377554294342</v>
      </c>
      <c r="R13" s="170">
        <v>3.372757362755498</v>
      </c>
      <c r="S13" s="170">
        <v>3.369640205509844</v>
      </c>
      <c r="T13" s="170">
        <v>3.3661610085391027</v>
      </c>
      <c r="U13" s="170">
        <v>3.362670922874824</v>
      </c>
      <c r="V13" s="170">
        <v>3.3591640067864383</v>
      </c>
      <c r="W13" s="170">
        <v>3.321515081475966</v>
      </c>
      <c r="X13" s="170">
        <v>3.352050411885524</v>
      </c>
      <c r="Y13" s="170">
        <v>3.3481190427744036</v>
      </c>
      <c r="Z13" s="170">
        <v>2.932384042148732</v>
      </c>
      <c r="AA13" s="170">
        <v>3.3408453241516693</v>
      </c>
      <c r="AB13" s="170">
        <v>3.306104940744277</v>
      </c>
      <c r="AC13" s="170">
        <v>3.3336353848941034</v>
      </c>
      <c r="AD13" s="170">
        <v>2.9032585522129617</v>
      </c>
      <c r="AE13" s="170">
        <v>3.326002522040653</v>
      </c>
      <c r="AF13" s="170">
        <v>3.070305684603797</v>
      </c>
      <c r="AG13" s="170">
        <v>3.094988845608952</v>
      </c>
      <c r="AH13" s="170">
        <v>3.3133032393980617</v>
      </c>
      <c r="AI13" s="170">
        <v>3.1428683386946124</v>
      </c>
      <c r="AJ13" s="170">
        <v>3.5531178487128035</v>
      </c>
      <c r="AK13" s="170">
        <v>3.3014528817092494</v>
      </c>
      <c r="AL13" s="170">
        <v>3.3391132210867687</v>
      </c>
      <c r="AM13" s="170">
        <v>3.291958121212886</v>
      </c>
      <c r="AN13" s="170">
        <v>3.2870612834225894</v>
      </c>
      <c r="AO13" s="170">
        <v>3.282257251155878</v>
      </c>
      <c r="AP13" s="170">
        <v>3.277230267348343</v>
      </c>
      <c r="AQ13" s="170">
        <v>3.2725706292116596</v>
      </c>
      <c r="AR13" s="170">
        <v>3.2696963236044763</v>
      </c>
      <c r="AS13" s="170">
        <v>3.266478431355407</v>
      </c>
      <c r="AT13" s="170">
        <v>3.263303021170699</v>
      </c>
      <c r="AU13" s="170">
        <v>3.260122556507228</v>
      </c>
      <c r="AV13" s="170">
        <v>3.2569503996514237</v>
      </c>
      <c r="AW13" s="170">
        <v>3.253781568929786</v>
      </c>
      <c r="AX13" s="170">
        <v>3.2506398700346737</v>
      </c>
      <c r="AY13" s="171"/>
      <c r="AZ13" s="171"/>
      <c r="BA13" s="171"/>
      <c r="BB13" s="171"/>
      <c r="BC13" s="171"/>
      <c r="BD13" s="171"/>
      <c r="BE13" s="171"/>
      <c r="BF13" s="171"/>
    </row>
    <row r="14" spans="1:58" ht="15.75">
      <c r="A14" s="167">
        <v>2.4000000000000004</v>
      </c>
      <c r="B14" s="170">
        <v>3.428334938542699</v>
      </c>
      <c r="C14" s="170">
        <v>3.4258941160780876</v>
      </c>
      <c r="D14" s="170">
        <v>3.4232745329515084</v>
      </c>
      <c r="E14" s="170">
        <v>3.4205661219305505</v>
      </c>
      <c r="F14" s="170">
        <v>3.4179001333792915</v>
      </c>
      <c r="G14" s="170">
        <v>3.4153207230470324</v>
      </c>
      <c r="H14" s="170">
        <v>3.4111637442185145</v>
      </c>
      <c r="I14" s="170">
        <v>3.4080433737828977</v>
      </c>
      <c r="J14" s="170">
        <v>3.405130514450761</v>
      </c>
      <c r="K14" s="170">
        <v>3.4020960089999206</v>
      </c>
      <c r="L14" s="170">
        <v>3.398981318451995</v>
      </c>
      <c r="M14" s="170">
        <v>3.395782843883597</v>
      </c>
      <c r="N14" s="170">
        <v>3.3925295139919953</v>
      </c>
      <c r="O14" s="170">
        <v>3.3895295474919322</v>
      </c>
      <c r="P14" s="170">
        <v>3.386241046538451</v>
      </c>
      <c r="Q14" s="170">
        <v>3.3829568865574746</v>
      </c>
      <c r="R14" s="170">
        <v>3.3797457390156422</v>
      </c>
      <c r="S14" s="170">
        <v>3.376409913615083</v>
      </c>
      <c r="T14" s="170">
        <v>3.3730774533976775</v>
      </c>
      <c r="U14" s="170">
        <v>3.3696933267818268</v>
      </c>
      <c r="V14" s="170">
        <v>3.366247554387595</v>
      </c>
      <c r="W14" s="170">
        <v>3.3629171038140866</v>
      </c>
      <c r="X14" s="170">
        <v>3.3594810770193853</v>
      </c>
      <c r="Y14" s="170">
        <v>3.3560614328001477</v>
      </c>
      <c r="Z14" s="170">
        <v>3.039251340826979</v>
      </c>
      <c r="AA14" s="170">
        <v>3.348942357133538</v>
      </c>
      <c r="AB14" s="170">
        <v>3.065384852617633</v>
      </c>
      <c r="AC14" s="170">
        <v>3.120966479755606</v>
      </c>
      <c r="AD14" s="170">
        <v>3.124370741252521</v>
      </c>
      <c r="AE14" s="170">
        <v>3.3345202862703274</v>
      </c>
      <c r="AF14" s="170">
        <v>3.3310349748650196</v>
      </c>
      <c r="AG14" s="170">
        <v>3.3271993496830476</v>
      </c>
      <c r="AH14" s="170">
        <v>3.323610063551938</v>
      </c>
      <c r="AI14" s="170">
        <v>3.319925659538096</v>
      </c>
      <c r="AJ14" s="170">
        <v>3.3160803805347063</v>
      </c>
      <c r="AK14" s="170">
        <v>3.3119179088046646</v>
      </c>
      <c r="AL14" s="170">
        <v>3.308335391344678</v>
      </c>
      <c r="AM14" s="170">
        <v>3.30442987206232</v>
      </c>
      <c r="AN14" s="170">
        <v>3.3003151146726224</v>
      </c>
      <c r="AO14" s="170">
        <v>3.296135539105322</v>
      </c>
      <c r="AP14" s="170">
        <v>3.291168895243515</v>
      </c>
      <c r="AQ14" s="170">
        <v>3.2874291747837967</v>
      </c>
      <c r="AR14" s="170">
        <v>3.2823770205875684</v>
      </c>
      <c r="AS14" s="170">
        <v>3.278128906624207</v>
      </c>
      <c r="AT14" s="170">
        <v>3.273028418653982</v>
      </c>
      <c r="AU14" s="170">
        <v>3.2675967008147206</v>
      </c>
      <c r="AV14" s="170">
        <v>3.2633530157698356</v>
      </c>
      <c r="AW14" s="170">
        <v>3.2601984579523573</v>
      </c>
      <c r="AX14" s="170">
        <v>3.2570751356832113</v>
      </c>
      <c r="AY14" s="171"/>
      <c r="AZ14" s="171"/>
      <c r="BA14" s="171"/>
      <c r="BB14" s="171"/>
      <c r="BC14" s="171"/>
      <c r="BD14" s="171"/>
      <c r="BE14" s="171"/>
      <c r="BF14" s="171"/>
    </row>
    <row r="15" spans="1:58" ht="15.75">
      <c r="A15" s="167">
        <v>2.6</v>
      </c>
      <c r="B15" s="170">
        <v>3.4335544444056896</v>
      </c>
      <c r="C15" s="170">
        <v>3.431078163535144</v>
      </c>
      <c r="D15" s="170">
        <v>3.428578510460825</v>
      </c>
      <c r="E15" s="170">
        <v>3.4258009145974997</v>
      </c>
      <c r="F15" s="170">
        <v>3.4232207871526223</v>
      </c>
      <c r="G15" s="170">
        <v>3.4206086733153467</v>
      </c>
      <c r="H15" s="170">
        <v>3.416667207236257</v>
      </c>
      <c r="I15" s="170">
        <v>3.413697692045851</v>
      </c>
      <c r="J15" s="170">
        <v>3.4107490709966237</v>
      </c>
      <c r="K15" s="170">
        <v>3.40775491483819</v>
      </c>
      <c r="L15" s="170">
        <v>3.404766434655951</v>
      </c>
      <c r="M15" s="170">
        <v>3.4016902127910726</v>
      </c>
      <c r="N15" s="170">
        <v>3.398624059073646</v>
      </c>
      <c r="O15" s="170">
        <v>3.395506248202026</v>
      </c>
      <c r="P15" s="170">
        <v>3.3923778607529713</v>
      </c>
      <c r="Q15" s="170">
        <v>3.389202173533633</v>
      </c>
      <c r="R15" s="170">
        <v>3.386071786826795</v>
      </c>
      <c r="S15" s="170">
        <v>3.3828379317454647</v>
      </c>
      <c r="T15" s="170">
        <v>3.3795643048931243</v>
      </c>
      <c r="U15" s="170">
        <v>3.376304102800186</v>
      </c>
      <c r="V15" s="170">
        <v>3.373043611031984</v>
      </c>
      <c r="W15" s="170">
        <v>3.3697554979311963</v>
      </c>
      <c r="X15" s="170">
        <v>3.325291091842552</v>
      </c>
      <c r="Y15" s="170">
        <v>3.322249464290344</v>
      </c>
      <c r="Z15" s="170">
        <v>3.3597651238324504</v>
      </c>
      <c r="AA15" s="170">
        <v>3.356371900726165</v>
      </c>
      <c r="AB15" s="170">
        <v>3.3531046741456567</v>
      </c>
      <c r="AC15" s="170">
        <v>3.3496937341698945</v>
      </c>
      <c r="AD15" s="170">
        <v>3.3068824672957073</v>
      </c>
      <c r="AE15" s="170">
        <v>3.34283800656885</v>
      </c>
      <c r="AF15" s="170">
        <v>3.3394148102945738</v>
      </c>
      <c r="AG15" s="170">
        <v>3.3359682756278963</v>
      </c>
      <c r="AH15" s="170">
        <v>3.3325853186923715</v>
      </c>
      <c r="AI15" s="170">
        <v>3.291301000615355</v>
      </c>
      <c r="AJ15" s="170">
        <v>3.3255197756584844</v>
      </c>
      <c r="AK15" s="170">
        <v>3.321996283114054</v>
      </c>
      <c r="AL15" s="170">
        <v>3.3184548523789044</v>
      </c>
      <c r="AM15" s="170">
        <v>3.3148081814512795</v>
      </c>
      <c r="AN15" s="170">
        <v>3.275561285339476</v>
      </c>
      <c r="AO15" s="170">
        <v>3.3073386828233904</v>
      </c>
      <c r="AP15" s="170">
        <v>3.269231394424864</v>
      </c>
      <c r="AQ15" s="170">
        <v>3.300053082103283</v>
      </c>
      <c r="AR15" s="170">
        <v>3.2961825116767742</v>
      </c>
      <c r="AS15" s="170">
        <v>3.292399103388148</v>
      </c>
      <c r="AT15" s="170">
        <v>3.2883842388453117</v>
      </c>
      <c r="AU15" s="170">
        <v>3.2841795904209454</v>
      </c>
      <c r="AV15" s="170">
        <v>3.279902909962001</v>
      </c>
      <c r="AW15" s="170">
        <v>3.2752800851042094</v>
      </c>
      <c r="AX15" s="170">
        <v>3.2744094223715163</v>
      </c>
      <c r="AY15" s="171"/>
      <c r="AZ15" s="171"/>
      <c r="BA15" s="171"/>
      <c r="BB15" s="171"/>
      <c r="BC15" s="171"/>
      <c r="BD15" s="171"/>
      <c r="BE15" s="171"/>
      <c r="BF15" s="171"/>
    </row>
    <row r="16" spans="1:58" ht="15.75">
      <c r="A16" s="167">
        <v>2.8000000000000003</v>
      </c>
      <c r="B16" s="170">
        <v>3.438821300678598</v>
      </c>
      <c r="C16" s="170">
        <v>3.436355485978169</v>
      </c>
      <c r="D16" s="170">
        <v>3.4338420663049183</v>
      </c>
      <c r="E16" s="170">
        <v>3.431126407015711</v>
      </c>
      <c r="F16" s="170">
        <v>3.4285705272728295</v>
      </c>
      <c r="G16" s="170">
        <v>3.4260318814567627</v>
      </c>
      <c r="H16" s="170">
        <v>3.422020958675532</v>
      </c>
      <c r="I16" s="170">
        <v>3.4191014303853327</v>
      </c>
      <c r="J16" s="170">
        <v>3.41623553960761</v>
      </c>
      <c r="K16" s="170">
        <v>3.4133290678201664</v>
      </c>
      <c r="L16" s="170">
        <v>3.4103740264601266</v>
      </c>
      <c r="M16" s="170">
        <v>3.4073366701525245</v>
      </c>
      <c r="N16" s="170">
        <v>3.4043593403960966</v>
      </c>
      <c r="O16" s="170">
        <v>3.4013886425444255</v>
      </c>
      <c r="P16" s="170">
        <v>3.3983336202236645</v>
      </c>
      <c r="Q16" s="170">
        <v>3.395178200136888</v>
      </c>
      <c r="R16" s="170">
        <v>3.3921481127946924</v>
      </c>
      <c r="S16" s="170">
        <v>3.3889922222348017</v>
      </c>
      <c r="T16" s="170">
        <v>3.3858276333739115</v>
      </c>
      <c r="U16" s="170">
        <v>3.382659345803159</v>
      </c>
      <c r="V16" s="170">
        <v>3.379496064373819</v>
      </c>
      <c r="W16" s="170">
        <v>3.3763083321796628</v>
      </c>
      <c r="X16" s="170">
        <v>3.373122656861299</v>
      </c>
      <c r="Y16" s="170">
        <v>3.329068507351543</v>
      </c>
      <c r="Z16" s="170">
        <v>3.3666112279258082</v>
      </c>
      <c r="AA16" s="170">
        <v>3.3634315245417663</v>
      </c>
      <c r="AB16" s="170">
        <v>3.3602317182370416</v>
      </c>
      <c r="AC16" s="170">
        <v>3.3569864717446887</v>
      </c>
      <c r="AD16" s="170">
        <v>3.3537507156725352</v>
      </c>
      <c r="AE16" s="170">
        <v>3.3505174207883277</v>
      </c>
      <c r="AF16" s="170">
        <v>3.3077011089073185</v>
      </c>
      <c r="AG16" s="170">
        <v>3.3439823788321448</v>
      </c>
      <c r="AH16" s="170">
        <v>3.340747955607236</v>
      </c>
      <c r="AI16" s="170">
        <v>3.1165985162604586</v>
      </c>
      <c r="AJ16" s="170">
        <v>2.931929352007192</v>
      </c>
      <c r="AK16" s="170">
        <v>3.187353069329945</v>
      </c>
      <c r="AL16" s="170">
        <v>3.208820719057636</v>
      </c>
      <c r="AM16" s="170">
        <v>3.2930158431207905</v>
      </c>
      <c r="AN16" s="170">
        <v>3.2519596159046404</v>
      </c>
      <c r="AO16" s="170">
        <v>3.317688517526749</v>
      </c>
      <c r="AP16" s="170">
        <v>3.313450258624918</v>
      </c>
      <c r="AQ16" s="170">
        <v>3.3109527558065834</v>
      </c>
      <c r="AR16" s="170">
        <v>3.307698316907211</v>
      </c>
      <c r="AS16" s="170">
        <v>3.3043019600647403</v>
      </c>
      <c r="AT16" s="170">
        <v>3.264011591715537</v>
      </c>
      <c r="AU16" s="170">
        <v>3.2968950503156664</v>
      </c>
      <c r="AV16" s="170">
        <v>3.294149870045603</v>
      </c>
      <c r="AW16" s="170">
        <v>3.290491084775381</v>
      </c>
      <c r="AX16" s="170">
        <v>3.28708035717474</v>
      </c>
      <c r="AY16" s="171"/>
      <c r="AZ16" s="171"/>
      <c r="BA16" s="171"/>
      <c r="BB16" s="171"/>
      <c r="BC16" s="171"/>
      <c r="BD16" s="171"/>
      <c r="BE16" s="171"/>
      <c r="BF16" s="171"/>
    </row>
    <row r="17" spans="1:58" ht="15.75">
      <c r="A17" s="167">
        <v>3</v>
      </c>
      <c r="B17" s="170">
        <v>2.8509471239885253</v>
      </c>
      <c r="C17" s="170">
        <v>3.4414614927474125</v>
      </c>
      <c r="D17" s="170">
        <v>3.4389718107584035</v>
      </c>
      <c r="E17" s="170">
        <v>3.436329555638644</v>
      </c>
      <c r="F17" s="170">
        <v>3.4337491483083284</v>
      </c>
      <c r="G17" s="170">
        <v>3.431223620358502</v>
      </c>
      <c r="H17" s="170">
        <v>3.4273305960318847</v>
      </c>
      <c r="I17" s="170">
        <v>3.424537991350907</v>
      </c>
      <c r="J17" s="170">
        <v>3.421657430096251</v>
      </c>
      <c r="K17" s="170">
        <v>3.4187687526407937</v>
      </c>
      <c r="L17" s="170">
        <v>3.4159014802834227</v>
      </c>
      <c r="M17" s="170">
        <v>3.4129815631298923</v>
      </c>
      <c r="N17" s="170">
        <v>3.410005951836065</v>
      </c>
      <c r="O17" s="170">
        <v>3.407036568173219</v>
      </c>
      <c r="P17" s="170">
        <v>3.404109662414026</v>
      </c>
      <c r="Q17" s="170">
        <v>3.401086503371832</v>
      </c>
      <c r="R17" s="170">
        <v>2.7094075636084813</v>
      </c>
      <c r="S17" s="170">
        <v>3.3950018932476715</v>
      </c>
      <c r="T17" s="170">
        <v>3.3919380660662366</v>
      </c>
      <c r="U17" s="170">
        <v>3.3888770971141158</v>
      </c>
      <c r="V17" s="170">
        <v>3.344760419724629</v>
      </c>
      <c r="W17" s="170">
        <v>3.38269602694033</v>
      </c>
      <c r="X17" s="170">
        <v>3.5713328103248227</v>
      </c>
      <c r="Y17" s="170">
        <v>3.376438210484168</v>
      </c>
      <c r="Z17" s="170">
        <v>3.3272873145141455</v>
      </c>
      <c r="AA17" s="170">
        <v>3.3702274594227015</v>
      </c>
      <c r="AB17" s="170">
        <v>3.367192021525388</v>
      </c>
      <c r="AC17" s="170">
        <v>3.3640540990161902</v>
      </c>
      <c r="AD17" s="170">
        <v>3.320771597816991</v>
      </c>
      <c r="AE17" s="170">
        <v>3.317731019067345</v>
      </c>
      <c r="AF17" s="170">
        <v>3.3547614880994443</v>
      </c>
      <c r="AG17" s="170">
        <v>3.205524904718011</v>
      </c>
      <c r="AH17" s="170">
        <v>3.2872779967915076</v>
      </c>
      <c r="AI17" s="170">
        <v>3.345486605577099</v>
      </c>
      <c r="AJ17" s="170">
        <v>3.342415009099173</v>
      </c>
      <c r="AK17" s="170">
        <v>3.411617476860444</v>
      </c>
      <c r="AL17" s="170">
        <v>3.2962602574115962</v>
      </c>
      <c r="AM17" s="170">
        <v>3.3332442319237092</v>
      </c>
      <c r="AN17" s="170">
        <v>3.3302696096137603</v>
      </c>
      <c r="AO17" s="170">
        <v>3.327267377179708</v>
      </c>
      <c r="AP17" s="170">
        <v>2.7584054310188506</v>
      </c>
      <c r="AQ17" s="170">
        <v>3.28077423052651</v>
      </c>
      <c r="AR17" s="170">
        <v>3.3177420379795994</v>
      </c>
      <c r="AS17" s="170">
        <v>3.314237041945363</v>
      </c>
      <c r="AT17" s="170">
        <v>3.3105958532873827</v>
      </c>
      <c r="AU17" s="170">
        <v>3.3071900508485923</v>
      </c>
      <c r="AV17" s="170">
        <v>3.303612562013246</v>
      </c>
      <c r="AW17" s="170">
        <v>3.262088844689774</v>
      </c>
      <c r="AX17" s="170">
        <v>3.2589674297830364</v>
      </c>
      <c r="AY17" s="171"/>
      <c r="AZ17" s="171"/>
      <c r="BA17" s="171"/>
      <c r="BB17" s="171"/>
      <c r="BC17" s="171"/>
      <c r="BD17" s="171"/>
      <c r="BE17" s="171"/>
      <c r="BF17" s="171"/>
    </row>
    <row r="18" spans="1:58" ht="15.75">
      <c r="A18" s="167">
        <v>3.2</v>
      </c>
      <c r="B18" s="170">
        <v>3.4173739413412374</v>
      </c>
      <c r="C18" s="170">
        <v>3.446541827471867</v>
      </c>
      <c r="D18" s="170">
        <v>3.4440864868446983</v>
      </c>
      <c r="E18" s="170">
        <v>3.4414420258714884</v>
      </c>
      <c r="F18" s="170">
        <v>3.438884745858742</v>
      </c>
      <c r="G18" s="170">
        <v>3.436430828688659</v>
      </c>
      <c r="H18" s="170">
        <v>3.432565810317486</v>
      </c>
      <c r="I18" s="170">
        <v>3.4298008556745727</v>
      </c>
      <c r="J18" s="170">
        <v>3.4269846944315683</v>
      </c>
      <c r="K18" s="170">
        <v>3.4241468085874085</v>
      </c>
      <c r="L18" s="170">
        <v>3.4213114451642745</v>
      </c>
      <c r="M18" s="170">
        <v>3.418453719699195</v>
      </c>
      <c r="N18" s="170">
        <v>3.4155844393339687</v>
      </c>
      <c r="O18" s="170">
        <v>3.412655790996298</v>
      </c>
      <c r="P18" s="170">
        <v>3.409760571615116</v>
      </c>
      <c r="Q18" s="170">
        <v>3.4067853799790413</v>
      </c>
      <c r="R18" s="170">
        <v>3.4038589795586667</v>
      </c>
      <c r="S18" s="170">
        <v>3.4008889044526693</v>
      </c>
      <c r="T18" s="170">
        <v>3.397930709925794</v>
      </c>
      <c r="U18" s="170">
        <v>3.3949150090924998</v>
      </c>
      <c r="V18" s="170">
        <v>3.3919105769621045</v>
      </c>
      <c r="W18" s="170">
        <v>3.388916824998165</v>
      </c>
      <c r="X18" s="170">
        <v>3.3859042445873846</v>
      </c>
      <c r="Y18" s="170">
        <v>3.382830212161463</v>
      </c>
      <c r="Z18" s="170">
        <v>3.3799499650026052</v>
      </c>
      <c r="AA18" s="170">
        <v>3.3769102564311453</v>
      </c>
      <c r="AB18" s="170">
        <v>3.373941201646282</v>
      </c>
      <c r="AC18" s="170">
        <v>3.370946008040915</v>
      </c>
      <c r="AD18" s="170">
        <v>3.367938228195815</v>
      </c>
      <c r="AE18" s="170">
        <v>3.3649996729004545</v>
      </c>
      <c r="AF18" s="170">
        <v>3.3620470788099586</v>
      </c>
      <c r="AG18" s="170">
        <v>3.359136321443664</v>
      </c>
      <c r="AH18" s="170">
        <v>3.1979103764823353</v>
      </c>
      <c r="AI18" s="170">
        <v>3.3533173550633144</v>
      </c>
      <c r="AJ18" s="170">
        <v>3.3308255335437282</v>
      </c>
      <c r="AK18" s="170">
        <v>3.347529374919514</v>
      </c>
      <c r="AL18" s="170">
        <v>3.6615280104837375</v>
      </c>
      <c r="AM18" s="170">
        <v>3.34182118155589</v>
      </c>
      <c r="AN18" s="170">
        <v>3.33849655555689</v>
      </c>
      <c r="AO18" s="170">
        <v>3.335180783004466</v>
      </c>
      <c r="AP18" s="170">
        <v>3.331766038176395</v>
      </c>
      <c r="AQ18" s="170">
        <v>3.3284000429909137</v>
      </c>
      <c r="AR18" s="170">
        <v>3.3250017389822806</v>
      </c>
      <c r="AS18" s="170">
        <v>3.3215590233393684</v>
      </c>
      <c r="AT18" s="170">
        <v>3.3180194017101132</v>
      </c>
      <c r="AU18" s="170">
        <v>3.3146072257298265</v>
      </c>
      <c r="AV18" s="170">
        <v>3.311095662912281</v>
      </c>
      <c r="AW18" s="170">
        <v>3.3075844945214667</v>
      </c>
      <c r="AX18" s="170">
        <v>3.3041152614158773</v>
      </c>
      <c r="AY18" s="171"/>
      <c r="AZ18" s="171"/>
      <c r="BA18" s="171"/>
      <c r="BB18" s="171"/>
      <c r="BC18" s="171"/>
      <c r="BD18" s="171"/>
      <c r="BE18" s="171"/>
      <c r="BF18" s="171"/>
    </row>
    <row r="19" spans="1:58" ht="15.75">
      <c r="A19" s="167">
        <v>3.4000000000000004</v>
      </c>
      <c r="B19" s="170">
        <v>3.45410760068921</v>
      </c>
      <c r="C19" s="170">
        <v>3.451713451552189</v>
      </c>
      <c r="D19" s="170">
        <v>3.4492150860882416</v>
      </c>
      <c r="E19" s="170">
        <v>3.4466159931195004</v>
      </c>
      <c r="F19" s="170">
        <v>3.444207420273164</v>
      </c>
      <c r="G19" s="170">
        <v>3.441538652786147</v>
      </c>
      <c r="H19" s="170">
        <v>3.4377331775504762</v>
      </c>
      <c r="I19" s="170">
        <v>3.4349719137317973</v>
      </c>
      <c r="J19" s="170">
        <v>3.4322394450718994</v>
      </c>
      <c r="K19" s="170">
        <v>3.4294403831856592</v>
      </c>
      <c r="L19" s="170">
        <v>3.426659963032841</v>
      </c>
      <c r="M19" s="170">
        <v>3.4238423327597483</v>
      </c>
      <c r="N19" s="170">
        <v>3.420934021476661</v>
      </c>
      <c r="O19" s="170">
        <v>3.418204022140875</v>
      </c>
      <c r="P19" s="170">
        <v>3.4153270483420233</v>
      </c>
      <c r="Q19" s="170">
        <v>3.4124251744143916</v>
      </c>
      <c r="R19" s="170">
        <v>3.409430299728096</v>
      </c>
      <c r="S19" s="170">
        <v>3.406642338095057</v>
      </c>
      <c r="T19" s="170">
        <v>3.4037677582719317</v>
      </c>
      <c r="U19" s="170">
        <v>3.4008388837777597</v>
      </c>
      <c r="V19" s="170">
        <v>3.397917433944646</v>
      </c>
      <c r="W19" s="170">
        <v>3.394994955990092</v>
      </c>
      <c r="X19" s="170">
        <v>3.392097966248684</v>
      </c>
      <c r="Y19" s="170">
        <v>3.3892010124993464</v>
      </c>
      <c r="Z19" s="170">
        <v>3.3863076312779627</v>
      </c>
      <c r="AA19" s="170">
        <v>3.383348188989949</v>
      </c>
      <c r="AB19" s="170">
        <v>3.38061250525902</v>
      </c>
      <c r="AC19" s="170">
        <v>3.3776866713254794</v>
      </c>
      <c r="AD19" s="170">
        <v>3.374813846265582</v>
      </c>
      <c r="AE19" s="170">
        <v>3.3718039486707423</v>
      </c>
      <c r="AF19" s="170">
        <v>3.3693574165302134</v>
      </c>
      <c r="AG19" s="170">
        <v>3.3662675352153366</v>
      </c>
      <c r="AH19" s="170">
        <v>3.363630623899788</v>
      </c>
      <c r="AI19" s="170">
        <v>3.360726109323221</v>
      </c>
      <c r="AJ19" s="170">
        <v>3.358193039823459</v>
      </c>
      <c r="AK19" s="170">
        <v>3.3550190993737843</v>
      </c>
      <c r="AL19" s="170">
        <v>3.3517464826545593</v>
      </c>
      <c r="AM19" s="170">
        <v>3.3486088454632696</v>
      </c>
      <c r="AN19" s="170">
        <v>3.3453370377994185</v>
      </c>
      <c r="AO19" s="170">
        <v>3.3420725025782785</v>
      </c>
      <c r="AP19" s="170">
        <v>3.3386682039761664</v>
      </c>
      <c r="AQ19" s="170">
        <v>3.3353206225621905</v>
      </c>
      <c r="AR19" s="170">
        <v>3.332033741334979</v>
      </c>
      <c r="AS19" s="170">
        <v>3.3286389523405684</v>
      </c>
      <c r="AT19" s="170">
        <v>3.325195240077154</v>
      </c>
      <c r="AU19" s="170">
        <v>3.321825050416511</v>
      </c>
      <c r="AV19" s="170">
        <v>3.318390058649904</v>
      </c>
      <c r="AW19" s="170">
        <v>3.314956437840012</v>
      </c>
      <c r="AX19" s="170">
        <v>3.3115119255712218</v>
      </c>
      <c r="AY19" s="171"/>
      <c r="AZ19" s="171"/>
      <c r="BA19" s="171"/>
      <c r="BB19" s="171"/>
      <c r="BC19" s="171"/>
      <c r="BD19" s="171"/>
      <c r="BE19" s="171"/>
      <c r="BF19" s="171"/>
    </row>
    <row r="20" spans="1:58" ht="15.75">
      <c r="A20" s="167">
        <v>3.6</v>
      </c>
      <c r="B20" s="170">
        <v>3.459131761167254</v>
      </c>
      <c r="C20" s="170">
        <v>3.4566991494834327</v>
      </c>
      <c r="D20" s="170">
        <v>3.4542567866238976</v>
      </c>
      <c r="E20" s="170">
        <v>3.4516524154871546</v>
      </c>
      <c r="F20" s="170">
        <v>3.4492282387298436</v>
      </c>
      <c r="G20" s="170">
        <v>3.446768510079852</v>
      </c>
      <c r="H20" s="170">
        <v>3.442885941035127</v>
      </c>
      <c r="I20" s="170">
        <v>3.4401811531130706</v>
      </c>
      <c r="J20" s="170">
        <v>3.437438642211866</v>
      </c>
      <c r="K20" s="170">
        <v>3.434668256839318</v>
      </c>
      <c r="L20" s="170">
        <v>3.4319294638258415</v>
      </c>
      <c r="M20" s="170">
        <v>3.429165282692546</v>
      </c>
      <c r="N20" s="170">
        <v>3.4263758431407667</v>
      </c>
      <c r="O20" s="170">
        <v>3.423596028659979</v>
      </c>
      <c r="P20" s="170">
        <v>3.420769178283116</v>
      </c>
      <c r="Q20" s="170">
        <v>3.4180317749810407</v>
      </c>
      <c r="R20" s="170">
        <v>3.4150993754002723</v>
      </c>
      <c r="S20" s="170">
        <v>3.4123049984253164</v>
      </c>
      <c r="T20" s="170">
        <v>3.4094449673722407</v>
      </c>
      <c r="U20" s="170">
        <v>3.4066320935125485</v>
      </c>
      <c r="V20" s="170">
        <v>3.4037382381426244</v>
      </c>
      <c r="W20" s="170">
        <v>3.401047508867415</v>
      </c>
      <c r="X20" s="170">
        <v>3.3980872710395302</v>
      </c>
      <c r="Y20" s="170">
        <v>3.395345023890606</v>
      </c>
      <c r="Z20" s="170">
        <v>3.3925512079775113</v>
      </c>
      <c r="AA20" s="170">
        <v>3.389791895411577</v>
      </c>
      <c r="AB20" s="170">
        <v>3.386998030373019</v>
      </c>
      <c r="AC20" s="170">
        <v>3.3842338420756417</v>
      </c>
      <c r="AD20" s="170">
        <v>3.3815332768107593</v>
      </c>
      <c r="AE20" s="170">
        <v>3.3787507825293694</v>
      </c>
      <c r="AF20" s="170">
        <v>3.3762644468795795</v>
      </c>
      <c r="AG20" s="170">
        <v>3.3734909254283116</v>
      </c>
      <c r="AH20" s="170">
        <v>3.3707655409225</v>
      </c>
      <c r="AI20" s="170">
        <v>3.367659537051554</v>
      </c>
      <c r="AJ20" s="170">
        <v>3.3645666317334224</v>
      </c>
      <c r="AK20" s="170">
        <v>3.361402815035491</v>
      </c>
      <c r="AL20" s="170">
        <v>3.3582820860208797</v>
      </c>
      <c r="AM20" s="170">
        <v>3.355097304830173</v>
      </c>
      <c r="AN20" s="170">
        <v>3.351846597377583</v>
      </c>
      <c r="AO20" s="170">
        <v>3.3486539086695295</v>
      </c>
      <c r="AP20" s="170">
        <v>3.3452967734648364</v>
      </c>
      <c r="AQ20" s="170">
        <v>3.342122361486278</v>
      </c>
      <c r="AR20" s="170">
        <v>3.338734552565731</v>
      </c>
      <c r="AS20" s="170">
        <v>3.3354684402746893</v>
      </c>
      <c r="AT20" s="170">
        <v>3.332107140182484</v>
      </c>
      <c r="AU20" s="170">
        <v>3.3287512852049255</v>
      </c>
      <c r="AV20" s="170">
        <v>3.3253690921272345</v>
      </c>
      <c r="AW20" s="170">
        <v>3.321988174790359</v>
      </c>
      <c r="AX20" s="170">
        <v>3.31866793586522</v>
      </c>
      <c r="AY20" s="171"/>
      <c r="AZ20" s="171"/>
      <c r="BA20" s="171"/>
      <c r="BB20" s="171"/>
      <c r="BC20" s="171"/>
      <c r="BD20" s="171"/>
      <c r="BE20" s="171"/>
      <c r="BF20" s="171"/>
    </row>
    <row r="21" spans="1:58" ht="15.75">
      <c r="A21" s="167">
        <v>3.8000000000000003</v>
      </c>
      <c r="B21" s="170">
        <v>3.4641866337499887</v>
      </c>
      <c r="C21" s="170">
        <v>3.461745554186208</v>
      </c>
      <c r="D21" s="170">
        <v>3.459355289553246</v>
      </c>
      <c r="E21" s="170">
        <v>3.4567302817451697</v>
      </c>
      <c r="F21" s="170">
        <v>3.454291702638443</v>
      </c>
      <c r="G21" s="170">
        <v>3.4517743586636964</v>
      </c>
      <c r="H21" s="170">
        <v>3.4480218619738356</v>
      </c>
      <c r="I21" s="170">
        <v>3.4453138513172656</v>
      </c>
      <c r="J21" s="170">
        <v>3.4426388139633577</v>
      </c>
      <c r="K21" s="170">
        <v>3.4398993662248807</v>
      </c>
      <c r="L21" s="170">
        <v>3.4371710762022163</v>
      </c>
      <c r="M21" s="170">
        <v>3.43447124470001</v>
      </c>
      <c r="N21" s="170">
        <v>3.431671620394678</v>
      </c>
      <c r="O21" s="170">
        <v>3.428980095801244</v>
      </c>
      <c r="P21" s="170">
        <v>3.426227928655335</v>
      </c>
      <c r="Q21" s="170">
        <v>3.4234755532865777</v>
      </c>
      <c r="R21" s="170">
        <v>3.420692116971806</v>
      </c>
      <c r="S21" s="170">
        <v>3.4179360987973513</v>
      </c>
      <c r="T21" s="170">
        <v>3.415201812437212</v>
      </c>
      <c r="U21" s="170">
        <v>3.4124247878026575</v>
      </c>
      <c r="V21" s="170">
        <v>3.409685044465096</v>
      </c>
      <c r="W21" s="170">
        <v>3.4069620774663933</v>
      </c>
      <c r="X21" s="170">
        <v>3.4043007190648806</v>
      </c>
      <c r="Y21" s="170">
        <v>3.401434579120698</v>
      </c>
      <c r="Z21" s="170">
        <v>3.3987893993072937</v>
      </c>
      <c r="AA21" s="170">
        <v>3.396100077297059</v>
      </c>
      <c r="AB21" s="170">
        <v>3.39352819034662</v>
      </c>
      <c r="AC21" s="170">
        <v>3.3909496483731436</v>
      </c>
      <c r="AD21" s="170">
        <v>3.388194993851066</v>
      </c>
      <c r="AE21" s="170">
        <v>3.3855641951084934</v>
      </c>
      <c r="AF21" s="170">
        <v>3.3830951381296974</v>
      </c>
      <c r="AG21" s="170">
        <v>3.3799649531244027</v>
      </c>
      <c r="AH21" s="170">
        <v>3.37702343656982</v>
      </c>
      <c r="AI21" s="170">
        <v>3.3740256645614783</v>
      </c>
      <c r="AJ21" s="170">
        <v>3.3709031650379697</v>
      </c>
      <c r="AK21" s="170">
        <v>3.3678055240636726</v>
      </c>
      <c r="AL21" s="170">
        <v>3.3647005399765018</v>
      </c>
      <c r="AM21" s="170">
        <v>3.36155024780069</v>
      </c>
      <c r="AN21" s="170">
        <v>3.3583882990569967</v>
      </c>
      <c r="AO21" s="170">
        <v>3.355192916104449</v>
      </c>
      <c r="AP21" s="170">
        <v>3.351892347743025</v>
      </c>
      <c r="AQ21" s="170">
        <v>3.3487499109818106</v>
      </c>
      <c r="AR21" s="170">
        <v>3.345509894575362</v>
      </c>
      <c r="AS21" s="170">
        <v>3.3422681709045405</v>
      </c>
      <c r="AT21" s="170">
        <v>3.3388548526127684</v>
      </c>
      <c r="AU21" s="170">
        <v>3.3356896942102017</v>
      </c>
      <c r="AV21" s="170">
        <v>3.3323834174470166</v>
      </c>
      <c r="AW21" s="170">
        <v>3.329063811552059</v>
      </c>
      <c r="AX21" s="170">
        <v>3.325778430075624</v>
      </c>
      <c r="AY21" s="171"/>
      <c r="AZ21" s="171"/>
      <c r="BA21" s="171"/>
      <c r="BB21" s="171"/>
      <c r="BC21" s="171"/>
      <c r="BD21" s="171"/>
      <c r="BE21" s="171"/>
      <c r="BF21" s="171"/>
    </row>
    <row r="22" spans="1:58" ht="15.75">
      <c r="A22" s="167">
        <v>4</v>
      </c>
      <c r="B22" s="170">
        <v>2.9087413771257333</v>
      </c>
      <c r="C22" s="170">
        <v>3.4667294475481194</v>
      </c>
      <c r="D22" s="170">
        <v>3.464303505353633</v>
      </c>
      <c r="E22" s="170">
        <v>3.4617279876241533</v>
      </c>
      <c r="F22" s="170">
        <v>3.459291879274279</v>
      </c>
      <c r="G22" s="170">
        <v>3.4568948963439037</v>
      </c>
      <c r="H22" s="170">
        <v>3.453103100184647</v>
      </c>
      <c r="I22" s="170">
        <v>3.450410988083868</v>
      </c>
      <c r="J22" s="170">
        <v>3.4477241388587725</v>
      </c>
      <c r="K22" s="170">
        <v>3.4450221803732486</v>
      </c>
      <c r="L22" s="170">
        <v>3.4423506113173294</v>
      </c>
      <c r="M22" s="170">
        <v>3.4396938147332183</v>
      </c>
      <c r="N22" s="170">
        <v>3.437013015271538</v>
      </c>
      <c r="O22" s="170">
        <v>3.4343463106394356</v>
      </c>
      <c r="P22" s="170">
        <v>3.4315880038975073</v>
      </c>
      <c r="Q22" s="170">
        <v>3.4289613024995242</v>
      </c>
      <c r="R22" s="170">
        <v>3.4261607465767216</v>
      </c>
      <c r="S22" s="170">
        <v>3.4235533790646633</v>
      </c>
      <c r="T22" s="170">
        <v>3.420764954286306</v>
      </c>
      <c r="U22" s="170">
        <v>3.418120234799419</v>
      </c>
      <c r="V22" s="170">
        <v>3.415405221083066</v>
      </c>
      <c r="W22" s="170">
        <v>3.4128582273266455</v>
      </c>
      <c r="X22" s="170">
        <v>3.4102643327292563</v>
      </c>
      <c r="Y22" s="170">
        <v>3.4075029419513587</v>
      </c>
      <c r="Z22" s="170">
        <v>3.405000265987359</v>
      </c>
      <c r="AA22" s="170">
        <v>3.402341664516346</v>
      </c>
      <c r="AB22" s="170">
        <v>3.5997919251352863</v>
      </c>
      <c r="AC22" s="170">
        <v>3.397367904752312</v>
      </c>
      <c r="AD22" s="170">
        <v>3.5832860510892837</v>
      </c>
      <c r="AE22" s="170">
        <v>3.3919201457597468</v>
      </c>
      <c r="AF22" s="170">
        <v>3.5924241383061344</v>
      </c>
      <c r="AG22" s="170">
        <v>3.3860293290018495</v>
      </c>
      <c r="AH22" s="170">
        <v>3.6342499951935077</v>
      </c>
      <c r="AI22" s="170">
        <v>3.3801281624684596</v>
      </c>
      <c r="AJ22" s="170">
        <v>3.3770169040705813</v>
      </c>
      <c r="AK22" s="170">
        <v>3.3739814537352415</v>
      </c>
      <c r="AL22" s="170">
        <v>3.3708431189307326</v>
      </c>
      <c r="AM22" s="170">
        <v>3.3677582349606774</v>
      </c>
      <c r="AN22" s="170">
        <v>3.3646102300773317</v>
      </c>
      <c r="AO22" s="170">
        <v>3.3614991978857294</v>
      </c>
      <c r="AP22" s="170">
        <v>3.190404933100068</v>
      </c>
      <c r="AQ22" s="170">
        <v>3.3551772150959023</v>
      </c>
      <c r="AR22" s="170">
        <v>3.351930320176528</v>
      </c>
      <c r="AS22" s="170">
        <v>3.3487709668892753</v>
      </c>
      <c r="AT22" s="170">
        <v>3.34551945375639</v>
      </c>
      <c r="AU22" s="170">
        <v>3.342278674182458</v>
      </c>
      <c r="AV22" s="170">
        <v>3.339010512983747</v>
      </c>
      <c r="AW22" s="170">
        <v>3.335851475410699</v>
      </c>
      <c r="AX22" s="170">
        <v>3.3325807598005026</v>
      </c>
      <c r="AY22" s="171"/>
      <c r="AZ22" s="171"/>
      <c r="BA22" s="171"/>
      <c r="BB22" s="171"/>
      <c r="BC22" s="171"/>
      <c r="BD22" s="171"/>
      <c r="BE22" s="171"/>
      <c r="BF22" s="171"/>
    </row>
    <row r="23" spans="1:58" ht="15.75">
      <c r="A23" s="167">
        <v>4.2</v>
      </c>
      <c r="B23" s="170">
        <v>3.474346623122214</v>
      </c>
      <c r="C23" s="170">
        <v>3.4717341098925067</v>
      </c>
      <c r="D23" s="170">
        <v>3.469312454739745</v>
      </c>
      <c r="E23" s="170">
        <v>3.466770928175678</v>
      </c>
      <c r="F23" s="170">
        <v>3.464341846729505</v>
      </c>
      <c r="G23" s="170">
        <v>3.4619535647944266</v>
      </c>
      <c r="H23" s="170">
        <v>3.4581495814244576</v>
      </c>
      <c r="I23" s="170">
        <v>3.455543811244584</v>
      </c>
      <c r="J23" s="170">
        <v>3.4528318893048886</v>
      </c>
      <c r="K23" s="170">
        <v>3.4501385986032407</v>
      </c>
      <c r="L23" s="170">
        <v>3.4475094324798565</v>
      </c>
      <c r="M23" s="170">
        <v>3.444855993308434</v>
      </c>
      <c r="N23" s="170">
        <v>3.442172333170206</v>
      </c>
      <c r="O23" s="170">
        <v>3.4395839377930644</v>
      </c>
      <c r="P23" s="170">
        <v>3.436940448990611</v>
      </c>
      <c r="Q23" s="170">
        <v>3.4343139016939697</v>
      </c>
      <c r="R23" s="170">
        <v>3.4316073337603195</v>
      </c>
      <c r="S23" s="170">
        <v>3.429017544275082</v>
      </c>
      <c r="T23" s="170">
        <v>3.4264164269350053</v>
      </c>
      <c r="U23" s="170">
        <v>3.4237977651660456</v>
      </c>
      <c r="V23" s="170">
        <v>3.42121713200689</v>
      </c>
      <c r="W23" s="170">
        <v>3.418649353809389</v>
      </c>
      <c r="X23" s="170">
        <v>3.4162176876050547</v>
      </c>
      <c r="Y23" s="170">
        <v>3.4135414170082217</v>
      </c>
      <c r="Z23" s="170">
        <v>3.411160319598724</v>
      </c>
      <c r="AA23" s="170">
        <v>3.408560290784711</v>
      </c>
      <c r="AB23" s="170">
        <v>3.4062437657918396</v>
      </c>
      <c r="AC23" s="170">
        <v>3.4034838406339114</v>
      </c>
      <c r="AD23" s="170">
        <v>3.4007423143424607</v>
      </c>
      <c r="AE23" s="170">
        <v>3.397860087928605</v>
      </c>
      <c r="AF23" s="170">
        <v>3.394999337877271</v>
      </c>
      <c r="AG23" s="170">
        <v>3.392048449879806</v>
      </c>
      <c r="AH23" s="170">
        <v>3.3890534090647084</v>
      </c>
      <c r="AI23" s="170">
        <v>3.3860889888649814</v>
      </c>
      <c r="AJ23" s="170">
        <v>3.383085232132105</v>
      </c>
      <c r="AK23" s="170">
        <v>3.3800247988732504</v>
      </c>
      <c r="AL23" s="170">
        <v>3.377006965014843</v>
      </c>
      <c r="AM23" s="170">
        <v>3.373964262078053</v>
      </c>
      <c r="AN23" s="170">
        <v>3.3708634687849406</v>
      </c>
      <c r="AO23" s="170">
        <v>3.367781495279774</v>
      </c>
      <c r="AP23" s="170">
        <v>3.3645905973283776</v>
      </c>
      <c r="AQ23" s="170">
        <v>3.3615280057819565</v>
      </c>
      <c r="AR23" s="170">
        <v>3.358401719712564</v>
      </c>
      <c r="AS23" s="170">
        <v>3.3552330003891253</v>
      </c>
      <c r="AT23" s="170">
        <v>3.352003868327906</v>
      </c>
      <c r="AU23" s="170">
        <v>3.3488898757355017</v>
      </c>
      <c r="AV23" s="170">
        <v>3.345711581058305</v>
      </c>
      <c r="AW23" s="170">
        <v>3.3425300672332985</v>
      </c>
      <c r="AX23" s="170">
        <v>3.3392219752590915</v>
      </c>
      <c r="AY23" s="171"/>
      <c r="AZ23" s="171"/>
      <c r="BA23" s="171"/>
      <c r="BB23" s="171"/>
      <c r="BC23" s="171"/>
      <c r="BD23" s="171"/>
      <c r="BE23" s="171"/>
      <c r="BF23" s="171"/>
    </row>
    <row r="24" spans="1:58" ht="15.75">
      <c r="A24" s="167">
        <v>4.4</v>
      </c>
      <c r="B24" s="170">
        <v>3.4791977206696174</v>
      </c>
      <c r="C24" s="170">
        <v>3.4766471243847157</v>
      </c>
      <c r="D24" s="170">
        <v>3.474245332208622</v>
      </c>
      <c r="E24" s="170">
        <v>3.4716809694520796</v>
      </c>
      <c r="F24" s="170">
        <v>3.46927031632815</v>
      </c>
      <c r="G24" s="170">
        <v>3.4669658192951505</v>
      </c>
      <c r="H24" s="170">
        <v>3.463180505937234</v>
      </c>
      <c r="I24" s="170">
        <v>3.4605698614757925</v>
      </c>
      <c r="J24" s="170">
        <v>3.457925422666805</v>
      </c>
      <c r="K24" s="170">
        <v>3.4552983683769813</v>
      </c>
      <c r="L24" s="170">
        <v>3.4526483133306862</v>
      </c>
      <c r="M24" s="170">
        <v>3.4500465651301666</v>
      </c>
      <c r="N24" s="170">
        <v>3.4474294447246328</v>
      </c>
      <c r="O24" s="170">
        <v>3.444827788628724</v>
      </c>
      <c r="P24" s="170">
        <v>3.4422356286413045</v>
      </c>
      <c r="Q24" s="170">
        <v>3.4396998656680853</v>
      </c>
      <c r="R24" s="170">
        <v>3.437156534392054</v>
      </c>
      <c r="S24" s="170">
        <v>3.4345123796672152</v>
      </c>
      <c r="T24" s="170">
        <v>3.4319432907295173</v>
      </c>
      <c r="U24" s="170">
        <v>3.429439938431625</v>
      </c>
      <c r="V24" s="170">
        <v>3.42695933382763</v>
      </c>
      <c r="W24" s="170">
        <v>3.4244389928897427</v>
      </c>
      <c r="X24" s="170">
        <v>3.421990682668827</v>
      </c>
      <c r="Y24" s="170">
        <v>3.419543255666989</v>
      </c>
      <c r="Z24" s="170">
        <v>3.417155031595061</v>
      </c>
      <c r="AA24" s="170">
        <v>3.4147139929753165</v>
      </c>
      <c r="AB24" s="170">
        <v>3.4120235806086954</v>
      </c>
      <c r="AC24" s="170">
        <v>3.4092171833321316</v>
      </c>
      <c r="AD24" s="170">
        <v>3.406500966246301</v>
      </c>
      <c r="AE24" s="170">
        <v>3.4036798080112938</v>
      </c>
      <c r="AF24" s="170">
        <v>3.4007560572106605</v>
      </c>
      <c r="AG24" s="170">
        <v>3.3979029961899547</v>
      </c>
      <c r="AH24" s="170">
        <v>3.394901506035126</v>
      </c>
      <c r="AI24" s="170">
        <v>3.3919951881355037</v>
      </c>
      <c r="AJ24" s="170">
        <v>3.3890221868850667</v>
      </c>
      <c r="AK24" s="170">
        <v>3.38603304874546</v>
      </c>
      <c r="AL24" s="170">
        <v>3.3830158347451267</v>
      </c>
      <c r="AM24" s="170">
        <v>3.3799751720429345</v>
      </c>
      <c r="AN24" s="170">
        <v>3.3769397444767377</v>
      </c>
      <c r="AO24" s="170">
        <v>3.3739047829627387</v>
      </c>
      <c r="AP24" s="170">
        <v>3.370752992943705</v>
      </c>
      <c r="AQ24" s="170">
        <v>3.3677438244653923</v>
      </c>
      <c r="AR24" s="170">
        <v>3.364654769555717</v>
      </c>
      <c r="AS24" s="170">
        <v>3.3615565835112755</v>
      </c>
      <c r="AT24" s="170">
        <v>3.3583736353733102</v>
      </c>
      <c r="AU24" s="170">
        <v>3.3553154338794946</v>
      </c>
      <c r="AV24" s="170">
        <v>3.352173063692642</v>
      </c>
      <c r="AW24" s="170">
        <v>3.3490260426377265</v>
      </c>
      <c r="AX24" s="170">
        <v>3.345847029992794</v>
      </c>
      <c r="AY24" s="171"/>
      <c r="AZ24" s="171"/>
      <c r="BA24" s="171"/>
      <c r="BB24" s="171"/>
      <c r="BC24" s="171"/>
      <c r="BD24" s="171"/>
      <c r="BE24" s="171"/>
      <c r="BF24" s="171"/>
    </row>
    <row r="25" spans="1:58" ht="15.75">
      <c r="A25" s="167">
        <v>4.6000000000000005</v>
      </c>
      <c r="B25" s="170">
        <v>3.4841088885145077</v>
      </c>
      <c r="C25" s="170">
        <v>3.481605920747495</v>
      </c>
      <c r="D25" s="170">
        <v>3.47920352212789</v>
      </c>
      <c r="E25" s="170">
        <v>3.47664766076699</v>
      </c>
      <c r="F25" s="170">
        <v>3.4742648085414687</v>
      </c>
      <c r="G25" s="170">
        <v>3.471910788864847</v>
      </c>
      <c r="H25" s="170">
        <v>3.468165915311633</v>
      </c>
      <c r="I25" s="170">
        <v>3.465578972695139</v>
      </c>
      <c r="J25" s="170">
        <v>3.4629480778277126</v>
      </c>
      <c r="K25" s="170">
        <v>3.4603493561295497</v>
      </c>
      <c r="L25" s="170">
        <v>3.45777387389002</v>
      </c>
      <c r="M25" s="170">
        <v>3.4551941816357665</v>
      </c>
      <c r="N25" s="170">
        <v>3.4526242482637453</v>
      </c>
      <c r="O25" s="170">
        <v>3.450053811576427</v>
      </c>
      <c r="P25" s="170">
        <v>3.447502284645072</v>
      </c>
      <c r="Q25" s="170">
        <v>3.4450006040696772</v>
      </c>
      <c r="R25" s="170">
        <v>3.4424572343659747</v>
      </c>
      <c r="S25" s="170">
        <v>3.439988167943881</v>
      </c>
      <c r="T25" s="170">
        <v>3.4375002229057943</v>
      </c>
      <c r="U25" s="170">
        <v>3.435037362727322</v>
      </c>
      <c r="V25" s="170">
        <v>3.4326322072162085</v>
      </c>
      <c r="W25" s="170">
        <v>3.430250667754251</v>
      </c>
      <c r="X25" s="170">
        <v>3.4279127200973463</v>
      </c>
      <c r="Y25" s="170">
        <v>3.425416929410934</v>
      </c>
      <c r="Z25" s="170">
        <v>3.423078215216798</v>
      </c>
      <c r="AA25" s="170">
        <v>3.4203626728560255</v>
      </c>
      <c r="AB25" s="170">
        <v>3.417601979393503</v>
      </c>
      <c r="AC25" s="170">
        <v>3.4149713329820317</v>
      </c>
      <c r="AD25" s="170">
        <v>3.412181426452099</v>
      </c>
      <c r="AE25" s="170">
        <v>3.409330330281917</v>
      </c>
      <c r="AF25" s="170">
        <v>3.406500679700795</v>
      </c>
      <c r="AG25" s="170">
        <v>3.403605692596439</v>
      </c>
      <c r="AH25" s="170">
        <v>3.4006630514802874</v>
      </c>
      <c r="AI25" s="170">
        <v>3.397776918062756</v>
      </c>
      <c r="AJ25" s="170">
        <v>3.3948170557967137</v>
      </c>
      <c r="AK25" s="170">
        <v>3.391862060000636</v>
      </c>
      <c r="AL25" s="170">
        <v>3.388845783782295</v>
      </c>
      <c r="AM25" s="170">
        <v>3.38591603702933</v>
      </c>
      <c r="AN25" s="170">
        <v>3.3829413884314565</v>
      </c>
      <c r="AO25" s="170">
        <v>3.3798998985647173</v>
      </c>
      <c r="AP25" s="170">
        <v>3.3769045499870884</v>
      </c>
      <c r="AQ25" s="170">
        <v>3.3738681352535065</v>
      </c>
      <c r="AR25" s="170">
        <v>3.3708189035007647</v>
      </c>
      <c r="AS25" s="170">
        <v>3.367754466800465</v>
      </c>
      <c r="AT25" s="170">
        <v>3.364682128982716</v>
      </c>
      <c r="AU25" s="170">
        <v>3.361624624722313</v>
      </c>
      <c r="AV25" s="170">
        <v>3.358550251861685</v>
      </c>
      <c r="AW25" s="170">
        <v>3.3554421904007454</v>
      </c>
      <c r="AX25" s="170">
        <v>3.3523211060431777</v>
      </c>
      <c r="AY25" s="171"/>
      <c r="AZ25" s="171"/>
      <c r="BA25" s="171"/>
      <c r="BB25" s="171"/>
      <c r="BC25" s="171"/>
      <c r="BD25" s="171"/>
      <c r="BE25" s="171"/>
      <c r="BF25" s="171"/>
    </row>
    <row r="26" spans="1:58" ht="15.75">
      <c r="A26" s="167">
        <v>4.800000000000001</v>
      </c>
      <c r="B26" s="170">
        <v>3.4889402731368513</v>
      </c>
      <c r="C26" s="170">
        <v>3.4864639245248323</v>
      </c>
      <c r="D26" s="170">
        <v>3.4840758259844002</v>
      </c>
      <c r="E26" s="170">
        <v>3.4815485740314553</v>
      </c>
      <c r="F26" s="170">
        <v>3.479279136096393</v>
      </c>
      <c r="G26" s="170">
        <v>3.4768644349073288</v>
      </c>
      <c r="H26" s="170">
        <v>3.4731363304897926</v>
      </c>
      <c r="I26" s="170">
        <v>3.4705882327398827</v>
      </c>
      <c r="J26" s="170">
        <v>3.467971095848041</v>
      </c>
      <c r="K26" s="170">
        <v>3.465371211573689</v>
      </c>
      <c r="L26" s="170">
        <v>3.46284929369631</v>
      </c>
      <c r="M26" s="170">
        <v>3.460313741440043</v>
      </c>
      <c r="N26" s="170">
        <v>3.4577515190487143</v>
      </c>
      <c r="O26" s="170">
        <v>3.455251626700565</v>
      </c>
      <c r="P26" s="170">
        <v>3.452746498176345</v>
      </c>
      <c r="Q26" s="170">
        <v>3.4503255517415705</v>
      </c>
      <c r="R26" s="170">
        <v>3.447942069604354</v>
      </c>
      <c r="S26" s="170">
        <v>3.4454317818853624</v>
      </c>
      <c r="T26" s="170">
        <v>3.4430307316930593</v>
      </c>
      <c r="U26" s="170">
        <v>3.440681108438707</v>
      </c>
      <c r="V26" s="170">
        <v>3.4383400908274546</v>
      </c>
      <c r="W26" s="170">
        <v>3.436040133541823</v>
      </c>
      <c r="X26" s="170">
        <v>3.4337305820453246</v>
      </c>
      <c r="Y26" s="170">
        <v>3.431143155982405</v>
      </c>
      <c r="Z26" s="170">
        <v>3.4285259120234826</v>
      </c>
      <c r="AA26" s="170">
        <v>3.425935072915725</v>
      </c>
      <c r="AB26" s="170">
        <v>3.4232539761790823</v>
      </c>
      <c r="AC26" s="170">
        <v>3.42051864742185</v>
      </c>
      <c r="AD26" s="170">
        <v>3.417755647779818</v>
      </c>
      <c r="AE26" s="170">
        <v>3.414942421377016</v>
      </c>
      <c r="AF26" s="170">
        <v>3.4121130543665927</v>
      </c>
      <c r="AG26" s="170">
        <v>3.4092546068878327</v>
      </c>
      <c r="AH26" s="170">
        <v>3.4063459179972786</v>
      </c>
      <c r="AI26" s="170">
        <v>3.4034552093910384</v>
      </c>
      <c r="AJ26" s="170">
        <v>3.4005655094930987</v>
      </c>
      <c r="AK26" s="170">
        <v>3.3976637120136384</v>
      </c>
      <c r="AL26" s="170">
        <v>3.394678655739497</v>
      </c>
      <c r="AM26" s="170">
        <v>3.391792714624735</v>
      </c>
      <c r="AN26" s="170">
        <v>3.3888387495316628</v>
      </c>
      <c r="AO26" s="170">
        <v>3.385869261531488</v>
      </c>
      <c r="AP26" s="170">
        <v>3.3828469958385528</v>
      </c>
      <c r="AQ26" s="170">
        <v>3.379870600840459</v>
      </c>
      <c r="AR26" s="170">
        <v>3.376897721030818</v>
      </c>
      <c r="AS26" s="170">
        <v>3.373886754752553</v>
      </c>
      <c r="AT26" s="170">
        <v>3.3708182100499595</v>
      </c>
      <c r="AU26" s="170">
        <v>3.367848797029769</v>
      </c>
      <c r="AV26" s="170">
        <v>3.364771169035455</v>
      </c>
      <c r="AW26" s="170">
        <v>3.361748338397158</v>
      </c>
      <c r="AX26" s="170">
        <v>3.35868741968655</v>
      </c>
      <c r="AY26" s="171"/>
      <c r="AZ26" s="171"/>
      <c r="BA26" s="171"/>
      <c r="BB26" s="171"/>
      <c r="BC26" s="171"/>
      <c r="BD26" s="171"/>
      <c r="BE26" s="171"/>
      <c r="BF26" s="171"/>
    </row>
    <row r="27" spans="1:58" ht="15.75">
      <c r="A27" s="167">
        <v>5</v>
      </c>
      <c r="B27" s="170">
        <v>2.962444305200596</v>
      </c>
      <c r="C27" s="170">
        <v>3.491386022238203</v>
      </c>
      <c r="D27" s="170">
        <v>3.4889898932660155</v>
      </c>
      <c r="E27" s="170">
        <v>3.4864780502182318</v>
      </c>
      <c r="F27" s="170">
        <v>3.4841512153109218</v>
      </c>
      <c r="G27" s="170">
        <v>3.4817843664976262</v>
      </c>
      <c r="H27" s="170">
        <v>3.4780689616895417</v>
      </c>
      <c r="I27" s="170">
        <v>3.475523082661864</v>
      </c>
      <c r="J27" s="170">
        <v>3.4729775258218583</v>
      </c>
      <c r="K27" s="170">
        <v>3.4704268552663025</v>
      </c>
      <c r="L27" s="170">
        <v>3.4679055271199584</v>
      </c>
      <c r="M27" s="170">
        <v>3.4654502042979134</v>
      </c>
      <c r="N27" s="170">
        <v>3.462934937762384</v>
      </c>
      <c r="O27" s="170">
        <v>3.4604384206893215</v>
      </c>
      <c r="P27" s="170">
        <v>3.4580056177636425</v>
      </c>
      <c r="Q27" s="170">
        <v>3.4556297324181515</v>
      </c>
      <c r="R27" s="170">
        <v>3.4532433775487874</v>
      </c>
      <c r="S27" s="170">
        <v>3.4509002954272963</v>
      </c>
      <c r="T27" s="170">
        <v>3.4485700312876775</v>
      </c>
      <c r="U27" s="170">
        <v>3.4462736960822222</v>
      </c>
      <c r="V27" s="170">
        <v>3.4440448974846984</v>
      </c>
      <c r="W27" s="170">
        <v>3.4417135685705436</v>
      </c>
      <c r="X27" s="170">
        <v>3.4391902912605974</v>
      </c>
      <c r="Y27" s="170">
        <v>3.4365896954753747</v>
      </c>
      <c r="Z27" s="170">
        <v>3.434058899035514</v>
      </c>
      <c r="AA27" s="170">
        <v>3.431382223804786</v>
      </c>
      <c r="AB27" s="170">
        <v>3.1766453072473753</v>
      </c>
      <c r="AC27" s="170">
        <v>3.4260087957350986</v>
      </c>
      <c r="AD27" s="170">
        <v>3.2263827786167343</v>
      </c>
      <c r="AE27" s="170">
        <v>3.420450821478831</v>
      </c>
      <c r="AF27" s="170">
        <v>3.3528988828994684</v>
      </c>
      <c r="AG27" s="170">
        <v>3.41481570321478</v>
      </c>
      <c r="AH27" s="170">
        <v>3.355932224668081</v>
      </c>
      <c r="AI27" s="170">
        <v>3.4091280361030916</v>
      </c>
      <c r="AJ27" s="170">
        <v>3.406266569826416</v>
      </c>
      <c r="AK27" s="170">
        <v>3.4033560231449216</v>
      </c>
      <c r="AL27" s="170">
        <v>3.400475936823995</v>
      </c>
      <c r="AM27" s="170">
        <v>3.397559302910443</v>
      </c>
      <c r="AN27" s="170">
        <v>3.3946430668302456</v>
      </c>
      <c r="AO27" s="170">
        <v>3.39170508685221</v>
      </c>
      <c r="AP27" s="170">
        <v>3.3887659146323283</v>
      </c>
      <c r="AQ27" s="170">
        <v>3.3858109389234716</v>
      </c>
      <c r="AR27" s="170">
        <v>3.382852761716305</v>
      </c>
      <c r="AS27" s="170">
        <v>3.3799130225845193</v>
      </c>
      <c r="AT27" s="170">
        <v>3.3769152610973667</v>
      </c>
      <c r="AU27" s="170">
        <v>3.3739259444954914</v>
      </c>
      <c r="AV27" s="170">
        <v>3.3709575517416472</v>
      </c>
      <c r="AW27" s="170">
        <v>3.3679426310969856</v>
      </c>
      <c r="AX27" s="170">
        <v>3.3649505077418516</v>
      </c>
      <c r="AY27" s="171"/>
      <c r="AZ27" s="171"/>
      <c r="BA27" s="171"/>
      <c r="BB27" s="171"/>
      <c r="BC27" s="171"/>
      <c r="BD27" s="171"/>
      <c r="BE27" s="171"/>
      <c r="BF27" s="171"/>
    </row>
    <row r="28" spans="1:58" ht="15.75">
      <c r="A28" s="167">
        <v>5.2</v>
      </c>
      <c r="B28" s="170">
        <v>3.498658290620377</v>
      </c>
      <c r="C28" s="170">
        <v>3.4961148153674535</v>
      </c>
      <c r="D28" s="170">
        <v>3.493772480595658</v>
      </c>
      <c r="E28" s="170">
        <v>3.4913190255787203</v>
      </c>
      <c r="F28" s="170">
        <v>3.488986577390082</v>
      </c>
      <c r="G28" s="170">
        <v>3.486726863907723</v>
      </c>
      <c r="H28" s="170">
        <v>3.483012148662918</v>
      </c>
      <c r="I28" s="170">
        <v>3.4805025497441617</v>
      </c>
      <c r="J28" s="170">
        <v>3.4779369162587903</v>
      </c>
      <c r="K28" s="170">
        <v>3.475429165013728</v>
      </c>
      <c r="L28" s="170">
        <v>3.472934765261645</v>
      </c>
      <c r="M28" s="170">
        <v>3.4705262231258573</v>
      </c>
      <c r="N28" s="170">
        <v>3.4680800383530817</v>
      </c>
      <c r="O28" s="170">
        <v>3.4656772828033695</v>
      </c>
      <c r="P28" s="170">
        <v>3.463252834596257</v>
      </c>
      <c r="Q28" s="170">
        <v>3.4609676736185664</v>
      </c>
      <c r="R28" s="170">
        <v>3.458693575415576</v>
      </c>
      <c r="S28" s="170">
        <v>3.456354445230973</v>
      </c>
      <c r="T28" s="170">
        <v>3.4541224099217698</v>
      </c>
      <c r="U28" s="170">
        <v>3.4518435270144106</v>
      </c>
      <c r="V28" s="170">
        <v>3.4495012235249987</v>
      </c>
      <c r="W28" s="170">
        <v>3.447078745826542</v>
      </c>
      <c r="X28" s="170">
        <v>3.4445800200920362</v>
      </c>
      <c r="Y28" s="170">
        <v>3.4420337675733648</v>
      </c>
      <c r="Z28" s="170">
        <v>3.4394198779250598</v>
      </c>
      <c r="AA28" s="170">
        <v>3.436794630783583</v>
      </c>
      <c r="AB28" s="170">
        <v>3.4341149980414287</v>
      </c>
      <c r="AC28" s="170">
        <v>3.431419856611253</v>
      </c>
      <c r="AD28" s="170">
        <v>3.42866447844376</v>
      </c>
      <c r="AE28" s="170">
        <v>3.4259153270615457</v>
      </c>
      <c r="AF28" s="170">
        <v>3.423146154807711</v>
      </c>
      <c r="AG28" s="170">
        <v>3.420344335804575</v>
      </c>
      <c r="AH28" s="170">
        <v>3.4175269007517115</v>
      </c>
      <c r="AI28" s="170">
        <v>3.414690166942723</v>
      </c>
      <c r="AJ28" s="170">
        <v>3.411858962011327</v>
      </c>
      <c r="AK28" s="170">
        <v>3.409002221821762</v>
      </c>
      <c r="AL28" s="170">
        <v>3.4061364354058754</v>
      </c>
      <c r="AM28" s="170">
        <v>3.4032569315049073</v>
      </c>
      <c r="AN28" s="170">
        <v>3.4003719297027852</v>
      </c>
      <c r="AO28" s="170">
        <v>3.397473557102382</v>
      </c>
      <c r="AP28" s="170">
        <v>3.3945487957018416</v>
      </c>
      <c r="AQ28" s="170">
        <v>3.3916699771127767</v>
      </c>
      <c r="AR28" s="170">
        <v>3.3887749693378986</v>
      </c>
      <c r="AS28" s="170">
        <v>3.38586215665534</v>
      </c>
      <c r="AT28" s="170">
        <v>3.3828805269374422</v>
      </c>
      <c r="AU28" s="170">
        <v>3.379958498833054</v>
      </c>
      <c r="AV28" s="170">
        <v>3.3770324458648124</v>
      </c>
      <c r="AW28" s="170">
        <v>3.374050349279241</v>
      </c>
      <c r="AX28" s="170">
        <v>3.371109227301158</v>
      </c>
      <c r="AY28" s="171"/>
      <c r="AZ28" s="171"/>
      <c r="BA28" s="171"/>
      <c r="BB28" s="171"/>
      <c r="BC28" s="171"/>
      <c r="BD28" s="171"/>
      <c r="BE28" s="171"/>
      <c r="BF28" s="171"/>
    </row>
    <row r="29" spans="1:58" ht="15.75">
      <c r="A29" s="167">
        <v>5.4</v>
      </c>
      <c r="B29" s="170">
        <v>3.5037376585455893</v>
      </c>
      <c r="C29" s="170">
        <v>3.501253414467539</v>
      </c>
      <c r="D29" s="170">
        <v>3.4987389046623556</v>
      </c>
      <c r="E29" s="170">
        <v>3.4963968080042904</v>
      </c>
      <c r="F29" s="170">
        <v>3.4940487375055493</v>
      </c>
      <c r="G29" s="170">
        <v>3.4918483843705923</v>
      </c>
      <c r="H29" s="170">
        <v>3.4879165216438257</v>
      </c>
      <c r="I29" s="170">
        <v>3.485458226888406</v>
      </c>
      <c r="J29" s="170">
        <v>3.482901955623029</v>
      </c>
      <c r="K29" s="170">
        <v>3.4804299164335477</v>
      </c>
      <c r="L29" s="170">
        <v>3.477947802454689</v>
      </c>
      <c r="M29" s="170">
        <v>3.4756267531880622</v>
      </c>
      <c r="N29" s="170">
        <v>3.473372338365356</v>
      </c>
      <c r="O29" s="170">
        <v>3.4708992751779997</v>
      </c>
      <c r="P29" s="170">
        <v>3.4685522044938035</v>
      </c>
      <c r="Q29" s="170">
        <v>3.466301879871779</v>
      </c>
      <c r="R29" s="170">
        <v>3.464047747482197</v>
      </c>
      <c r="S29" s="170">
        <v>3.461836334950156</v>
      </c>
      <c r="T29" s="170">
        <v>3.4595688072395654</v>
      </c>
      <c r="U29" s="170">
        <v>3.4572263085360966</v>
      </c>
      <c r="V29" s="170">
        <v>3.454825022471031</v>
      </c>
      <c r="W29" s="170">
        <v>3.452396090794861</v>
      </c>
      <c r="X29" s="170">
        <v>3.449917981277346</v>
      </c>
      <c r="Y29" s="170">
        <v>3.4473352809940816</v>
      </c>
      <c r="Z29" s="170">
        <v>3.4447764008429456</v>
      </c>
      <c r="AA29" s="170">
        <v>3.442141544731464</v>
      </c>
      <c r="AB29" s="170">
        <v>3.439486472529023</v>
      </c>
      <c r="AC29" s="170">
        <v>3.436741311726998</v>
      </c>
      <c r="AD29" s="170">
        <v>3.4340417304745583</v>
      </c>
      <c r="AE29" s="170">
        <v>3.431312544497374</v>
      </c>
      <c r="AF29" s="170">
        <v>3.4285786223329446</v>
      </c>
      <c r="AG29" s="170">
        <v>3.4257879502020767</v>
      </c>
      <c r="AH29" s="170">
        <v>3.4229790424665802</v>
      </c>
      <c r="AI29" s="170">
        <v>3.420216798869266</v>
      </c>
      <c r="AJ29" s="170">
        <v>3.4173946262217525</v>
      </c>
      <c r="AK29" s="170">
        <v>3.4145576207035244</v>
      </c>
      <c r="AL29" s="170">
        <v>3.411747432920969</v>
      </c>
      <c r="AM29" s="170">
        <v>3.4088895120186287</v>
      </c>
      <c r="AN29" s="170">
        <v>3.4060538755406617</v>
      </c>
      <c r="AO29" s="170">
        <v>3.4031867780963023</v>
      </c>
      <c r="AP29" s="170">
        <v>3.400327159355797</v>
      </c>
      <c r="AQ29" s="170">
        <v>3.397487310009165</v>
      </c>
      <c r="AR29" s="170">
        <v>3.3946003664557707</v>
      </c>
      <c r="AS29" s="170">
        <v>3.3917006240680445</v>
      </c>
      <c r="AT29" s="170">
        <v>3.388801558912618</v>
      </c>
      <c r="AU29" s="170">
        <v>3.385895413337122</v>
      </c>
      <c r="AV29" s="170">
        <v>3.3830166854006594</v>
      </c>
      <c r="AW29" s="170">
        <v>3.380050839046811</v>
      </c>
      <c r="AX29" s="170">
        <v>3.3771036338576876</v>
      </c>
      <c r="AY29" s="171"/>
      <c r="AZ29" s="171"/>
      <c r="BA29" s="171"/>
      <c r="BB29" s="171"/>
      <c r="BC29" s="171"/>
      <c r="BD29" s="171"/>
      <c r="BE29" s="171"/>
      <c r="BF29" s="171"/>
    </row>
    <row r="30" spans="1:58" ht="15.75">
      <c r="A30" s="167">
        <v>5.6000000000000005</v>
      </c>
      <c r="B30" s="170">
        <v>3.508659577925824</v>
      </c>
      <c r="C30" s="170">
        <v>3.5062561395723075</v>
      </c>
      <c r="D30" s="170">
        <v>3.503725792979091</v>
      </c>
      <c r="E30" s="170">
        <v>3.5011941338503356</v>
      </c>
      <c r="F30" s="170">
        <v>3.498858610339382</v>
      </c>
      <c r="G30" s="170">
        <v>3.4965820998846735</v>
      </c>
      <c r="H30" s="170">
        <v>3.4929238231326285</v>
      </c>
      <c r="I30" s="170">
        <v>3.4904854210059044</v>
      </c>
      <c r="J30" s="170">
        <v>3.4879232226697723</v>
      </c>
      <c r="K30" s="170">
        <v>3.4855519961306003</v>
      </c>
      <c r="L30" s="170">
        <v>3.4831415077027943</v>
      </c>
      <c r="M30" s="170">
        <v>3.4807504013190838</v>
      </c>
      <c r="N30" s="170">
        <v>3.478441451529727</v>
      </c>
      <c r="O30" s="170">
        <v>3.4761672304979867</v>
      </c>
      <c r="P30" s="170">
        <v>3.4738269442767247</v>
      </c>
      <c r="Q30" s="170">
        <v>3.471656190094997</v>
      </c>
      <c r="R30" s="170">
        <v>3.4694086269913536</v>
      </c>
      <c r="S30" s="170">
        <v>3.4671368118217942</v>
      </c>
      <c r="T30" s="170">
        <v>3.4648398172005535</v>
      </c>
      <c r="U30" s="170">
        <v>3.4625120965937843</v>
      </c>
      <c r="V30" s="170">
        <v>3.4601268536948284</v>
      </c>
      <c r="W30" s="170">
        <v>3.4576708870209734</v>
      </c>
      <c r="X30" s="170">
        <v>3.4551601875530222</v>
      </c>
      <c r="Y30" s="170">
        <v>3.452583382428358</v>
      </c>
      <c r="Z30" s="170">
        <v>3.450041738190979</v>
      </c>
      <c r="AA30" s="170">
        <v>3.4473987673449087</v>
      </c>
      <c r="AB30" s="170">
        <v>3.4447418868814608</v>
      </c>
      <c r="AC30" s="170">
        <v>3.4420793154687535</v>
      </c>
      <c r="AD30" s="170">
        <v>3.4393635107167797</v>
      </c>
      <c r="AE30" s="170">
        <v>3.4366441842780744</v>
      </c>
      <c r="AF30" s="170">
        <v>3.4339247029308635</v>
      </c>
      <c r="AG30" s="170">
        <v>3.4312016736483186</v>
      </c>
      <c r="AH30" s="170">
        <v>3.4284194794815845</v>
      </c>
      <c r="AI30" s="170">
        <v>3.425657172664033</v>
      </c>
      <c r="AJ30" s="170">
        <v>3.4228906186982466</v>
      </c>
      <c r="AK30" s="170">
        <v>3.4200954898238205</v>
      </c>
      <c r="AL30" s="170">
        <v>3.4172773953083575</v>
      </c>
      <c r="AM30" s="170">
        <v>3.414492962199961</v>
      </c>
      <c r="AN30" s="170">
        <v>3.4116936515706087</v>
      </c>
      <c r="AO30" s="170">
        <v>3.408855085325073</v>
      </c>
      <c r="AP30" s="170">
        <v>3.4059993156802784</v>
      </c>
      <c r="AQ30" s="170">
        <v>3.4031999614930064</v>
      </c>
      <c r="AR30" s="170">
        <v>3.4003474988360614</v>
      </c>
      <c r="AS30" s="170">
        <v>3.3974859113824403</v>
      </c>
      <c r="AT30" s="170">
        <v>3.3945936789616757</v>
      </c>
      <c r="AU30" s="170">
        <v>3.39178405282757</v>
      </c>
      <c r="AV30" s="170">
        <v>3.388868729148987</v>
      </c>
      <c r="AW30" s="170">
        <v>3.3860226561593083</v>
      </c>
      <c r="AX30" s="170">
        <v>3.38320226359807</v>
      </c>
      <c r="AY30" s="171"/>
      <c r="AZ30" s="171"/>
      <c r="BA30" s="171"/>
      <c r="BB30" s="171"/>
      <c r="BC30" s="171"/>
      <c r="BD30" s="171"/>
      <c r="BE30" s="171"/>
      <c r="BF30" s="171"/>
    </row>
    <row r="31" spans="1:58" ht="15.75">
      <c r="A31" s="167">
        <v>5.800000000000001</v>
      </c>
      <c r="B31" s="170">
        <v>3.513506232337207</v>
      </c>
      <c r="C31" s="170">
        <v>3.5109516306913755</v>
      </c>
      <c r="D31" s="170">
        <v>3.508572150838728</v>
      </c>
      <c r="E31" s="170">
        <v>3.5060221104965916</v>
      </c>
      <c r="F31" s="170">
        <v>3.5037508128418904</v>
      </c>
      <c r="G31" s="170">
        <v>3.501429344169274</v>
      </c>
      <c r="H31" s="170">
        <v>3.4978049533292666</v>
      </c>
      <c r="I31" s="170">
        <v>3.49535585266591</v>
      </c>
      <c r="J31" s="170">
        <v>3.4928662056499555</v>
      </c>
      <c r="K31" s="170">
        <v>3.4904661615252546</v>
      </c>
      <c r="L31" s="170">
        <v>3.4881041114952596</v>
      </c>
      <c r="M31" s="170">
        <v>3.485877660571697</v>
      </c>
      <c r="N31" s="170">
        <v>3.483550602817569</v>
      </c>
      <c r="O31" s="170">
        <v>3.481311707333207</v>
      </c>
      <c r="P31" s="170">
        <v>3.479078200783364</v>
      </c>
      <c r="Q31" s="170">
        <v>3.4768874700723913</v>
      </c>
      <c r="R31" s="170">
        <v>3.4746109491851365</v>
      </c>
      <c r="S31" s="170">
        <v>3.472369808805447</v>
      </c>
      <c r="T31" s="170">
        <v>3.470076599605178</v>
      </c>
      <c r="U31" s="170">
        <v>3.4677455486202446</v>
      </c>
      <c r="V31" s="170">
        <v>3.465343704943367</v>
      </c>
      <c r="W31" s="170">
        <v>3.4628812720160504</v>
      </c>
      <c r="X31" s="170">
        <v>3.4603804257494892</v>
      </c>
      <c r="Y31" s="170">
        <v>3.457790114296839</v>
      </c>
      <c r="Z31" s="170">
        <v>3.4552331683665156</v>
      </c>
      <c r="AA31" s="170">
        <v>3.4526352311341912</v>
      </c>
      <c r="AB31" s="170">
        <v>3.4500019093017347</v>
      </c>
      <c r="AC31" s="170">
        <v>3.447319259817955</v>
      </c>
      <c r="AD31" s="170">
        <v>3.4446519043982557</v>
      </c>
      <c r="AE31" s="170">
        <v>3.4419388988291875</v>
      </c>
      <c r="AF31" s="170">
        <v>3.43924462006109</v>
      </c>
      <c r="AG31" s="170">
        <v>3.4365202196156805</v>
      </c>
      <c r="AH31" s="170">
        <v>3.4337690962570506</v>
      </c>
      <c r="AI31" s="170">
        <v>3.4310559122037407</v>
      </c>
      <c r="AJ31" s="170">
        <v>3.428325291828354</v>
      </c>
      <c r="AK31" s="170">
        <v>3.425543256723291</v>
      </c>
      <c r="AL31" s="170">
        <v>3.4227880706524805</v>
      </c>
      <c r="AM31" s="170">
        <v>3.420024047151306</v>
      </c>
      <c r="AN31" s="170">
        <v>3.417235234478297</v>
      </c>
      <c r="AO31" s="170">
        <v>3.414434130846523</v>
      </c>
      <c r="AP31" s="170">
        <v>3.411622928640616</v>
      </c>
      <c r="AQ31" s="170">
        <v>3.408860000219491</v>
      </c>
      <c r="AR31" s="170">
        <v>3.406018193533301</v>
      </c>
      <c r="AS31" s="170">
        <v>3.4032223866721254</v>
      </c>
      <c r="AT31" s="170">
        <v>3.4005851993601715</v>
      </c>
      <c r="AU31" s="170">
        <v>3.3977420055744583</v>
      </c>
      <c r="AV31" s="170">
        <v>3.394905754480666</v>
      </c>
      <c r="AW31" s="170">
        <v>3.3920645730127834</v>
      </c>
      <c r="AX31" s="170">
        <v>3.38922895916159</v>
      </c>
      <c r="AY31" s="171"/>
      <c r="AZ31" s="171"/>
      <c r="BA31" s="171"/>
      <c r="BB31" s="171"/>
      <c r="BC31" s="171"/>
      <c r="BD31" s="171"/>
      <c r="BE31" s="171"/>
      <c r="BF31" s="171"/>
    </row>
    <row r="32" spans="1:58" ht="15.75">
      <c r="A32" s="167">
        <v>6</v>
      </c>
      <c r="B32" s="170">
        <v>3.012765162688902</v>
      </c>
      <c r="C32" s="170">
        <v>3.5157507465917477</v>
      </c>
      <c r="D32" s="170">
        <v>3.513237699808089</v>
      </c>
      <c r="E32" s="170">
        <v>3.5107933575942143</v>
      </c>
      <c r="F32" s="170">
        <v>3.508525834894082</v>
      </c>
      <c r="G32" s="170">
        <v>3.5062637740537825</v>
      </c>
      <c r="H32" s="170">
        <v>3.5026318195461283</v>
      </c>
      <c r="I32" s="170">
        <v>3.500263494398981</v>
      </c>
      <c r="J32" s="170">
        <v>3.4978128792207586</v>
      </c>
      <c r="K32" s="170">
        <v>3.4954323864083863</v>
      </c>
      <c r="L32" s="170">
        <v>3.4930965265039755</v>
      </c>
      <c r="M32" s="170">
        <v>3.4908762243862066</v>
      </c>
      <c r="N32" s="170">
        <v>3.4886910769896358</v>
      </c>
      <c r="O32" s="170">
        <v>3.48647182946315</v>
      </c>
      <c r="P32" s="170">
        <v>3.484279647147897</v>
      </c>
      <c r="Q32" s="170">
        <v>3.4820811848063986</v>
      </c>
      <c r="R32" s="170">
        <v>3.479835254631599</v>
      </c>
      <c r="S32" s="170">
        <v>3.477591455723947</v>
      </c>
      <c r="T32" s="170">
        <v>3.47527499286844</v>
      </c>
      <c r="U32" s="170">
        <v>3.4729157413041425</v>
      </c>
      <c r="V32" s="170">
        <v>3.4705043641999267</v>
      </c>
      <c r="W32" s="170">
        <v>3.4680421102997028</v>
      </c>
      <c r="X32" s="170">
        <v>3.4655322809722344</v>
      </c>
      <c r="Y32" s="170">
        <v>3.462969591644576</v>
      </c>
      <c r="Z32" s="170">
        <v>3.4603925159250912</v>
      </c>
      <c r="AA32" s="170">
        <v>3.457786437045245</v>
      </c>
      <c r="AB32" s="170">
        <v>3.4551892933869413</v>
      </c>
      <c r="AC32" s="170">
        <v>3.4525238980982516</v>
      </c>
      <c r="AD32" s="170">
        <v>3.449858635273118</v>
      </c>
      <c r="AE32" s="170">
        <v>3.4472085080678427</v>
      </c>
      <c r="AF32" s="170">
        <v>3.444510869392578</v>
      </c>
      <c r="AG32" s="170">
        <v>3.4418146434736205</v>
      </c>
      <c r="AH32" s="170">
        <v>3.439084765642762</v>
      </c>
      <c r="AI32" s="170">
        <v>3.4364180326684908</v>
      </c>
      <c r="AJ32" s="170">
        <v>3.4337023342913606</v>
      </c>
      <c r="AK32" s="170">
        <v>3.430968405484064</v>
      </c>
      <c r="AL32" s="170">
        <v>3.428225446402426</v>
      </c>
      <c r="AM32" s="170">
        <v>3.425482016815343</v>
      </c>
      <c r="AN32" s="170">
        <v>3.4227345993569425</v>
      </c>
      <c r="AO32" s="170">
        <v>3.419974313326038</v>
      </c>
      <c r="AP32" s="170">
        <v>3.417379280165099</v>
      </c>
      <c r="AQ32" s="170">
        <v>3.4146467085131995</v>
      </c>
      <c r="AR32" s="170">
        <v>3.411859567833101</v>
      </c>
      <c r="AS32" s="170">
        <v>3.4090705849046947</v>
      </c>
      <c r="AT32" s="170">
        <v>3.406293806844341</v>
      </c>
      <c r="AU32" s="170">
        <v>3.403496340431874</v>
      </c>
      <c r="AV32" s="170">
        <v>3.400691463631876</v>
      </c>
      <c r="AW32" s="170">
        <v>3.3978809428607657</v>
      </c>
      <c r="AX32" s="170">
        <v>3.3950778275403475</v>
      </c>
      <c r="AY32" s="171"/>
      <c r="AZ32" s="171"/>
      <c r="BA32" s="171"/>
      <c r="BB32" s="171"/>
      <c r="BC32" s="171"/>
      <c r="BD32" s="171"/>
      <c r="BE32" s="171"/>
      <c r="BF32" s="171"/>
    </row>
    <row r="33" spans="1:58" ht="15.75">
      <c r="A33" s="167">
        <v>6.2</v>
      </c>
      <c r="B33" s="170">
        <v>3.5230061078857196</v>
      </c>
      <c r="C33" s="170">
        <v>3.5205874343578856</v>
      </c>
      <c r="D33" s="170">
        <v>3.517984596001823</v>
      </c>
      <c r="E33" s="170">
        <v>3.515625169828975</v>
      </c>
      <c r="F33" s="170">
        <v>3.513378883708753</v>
      </c>
      <c r="G33" s="170">
        <v>3.511081472142616</v>
      </c>
      <c r="H33" s="170">
        <v>3.5075128638012663</v>
      </c>
      <c r="I33" s="170">
        <v>3.5051471609869878</v>
      </c>
      <c r="J33" s="170">
        <v>3.5027221751288895</v>
      </c>
      <c r="K33" s="170">
        <v>3.500386521947941</v>
      </c>
      <c r="L33" s="170">
        <v>3.498127709218104</v>
      </c>
      <c r="M33" s="170">
        <v>3.495899295034002</v>
      </c>
      <c r="N33" s="170">
        <v>3.4936958225130033</v>
      </c>
      <c r="O33" s="170">
        <v>3.491592381306929</v>
      </c>
      <c r="P33" s="170">
        <v>3.489413090381201</v>
      </c>
      <c r="Q33" s="170">
        <v>3.487225229051797</v>
      </c>
      <c r="R33" s="170">
        <v>3.485003672557257</v>
      </c>
      <c r="S33" s="170">
        <v>3.482765067391976</v>
      </c>
      <c r="T33" s="170">
        <v>3.480448918068066</v>
      </c>
      <c r="U33" s="170">
        <v>3.478033036667491</v>
      </c>
      <c r="V33" s="170">
        <v>3.4756193910457354</v>
      </c>
      <c r="W33" s="170">
        <v>3.473153889830294</v>
      </c>
      <c r="X33" s="170">
        <v>3.4706250389474635</v>
      </c>
      <c r="Y33" s="170">
        <v>3.4680683495543554</v>
      </c>
      <c r="Z33" s="170">
        <v>3.4655216647796827</v>
      </c>
      <c r="AA33" s="170">
        <v>3.4629106271237275</v>
      </c>
      <c r="AB33" s="170">
        <v>3.460281252641079</v>
      </c>
      <c r="AC33" s="170">
        <v>3.4576602264271363</v>
      </c>
      <c r="AD33" s="170">
        <v>3.455038380457572</v>
      </c>
      <c r="AE33" s="170">
        <v>3.452380131084761</v>
      </c>
      <c r="AF33" s="170">
        <v>3.449756099379385</v>
      </c>
      <c r="AG33" s="170">
        <v>3.447070474708827</v>
      </c>
      <c r="AH33" s="170">
        <v>3.4443915722810665</v>
      </c>
      <c r="AI33" s="170">
        <v>3.441726223977942</v>
      </c>
      <c r="AJ33" s="170">
        <v>3.4390176545613604</v>
      </c>
      <c r="AK33" s="170">
        <v>3.436482264358425</v>
      </c>
      <c r="AL33" s="170">
        <v>3.4338027679345418</v>
      </c>
      <c r="AM33" s="170">
        <v>3.431074535537203</v>
      </c>
      <c r="AN33" s="170">
        <v>3.4283815466857894</v>
      </c>
      <c r="AO33" s="170">
        <v>3.4256354846952908</v>
      </c>
      <c r="AP33" s="170">
        <v>3.42290697207533</v>
      </c>
      <c r="AQ33" s="170">
        <v>3.4201747131847364</v>
      </c>
      <c r="AR33" s="170">
        <v>3.417441722546328</v>
      </c>
      <c r="AS33" s="170">
        <v>3.414677994122524</v>
      </c>
      <c r="AT33" s="170">
        <v>3.411927514961177</v>
      </c>
      <c r="AU33" s="170">
        <v>3.409171116315344</v>
      </c>
      <c r="AV33" s="170">
        <v>3.4064295459435416</v>
      </c>
      <c r="AW33" s="170">
        <v>3.403645019162427</v>
      </c>
      <c r="AX33" s="170">
        <v>3.4008766198010933</v>
      </c>
      <c r="AY33" s="171"/>
      <c r="AZ33" s="171"/>
      <c r="BA33" s="171"/>
      <c r="BB33" s="171"/>
      <c r="BC33" s="171"/>
      <c r="BD33" s="171"/>
      <c r="BE33" s="171"/>
      <c r="BF33" s="171"/>
    </row>
    <row r="34" spans="1:58" ht="15.75">
      <c r="A34" s="167">
        <v>6.4</v>
      </c>
      <c r="B34" s="170">
        <v>3.5276577928386126</v>
      </c>
      <c r="C34" s="170">
        <v>3.5253254243936527</v>
      </c>
      <c r="D34" s="170">
        <v>3.5230222344986086</v>
      </c>
      <c r="E34" s="170">
        <v>3.5204750837711436</v>
      </c>
      <c r="F34" s="170">
        <v>3.518115393141725</v>
      </c>
      <c r="G34" s="170">
        <v>3.5159198095359643</v>
      </c>
      <c r="H34" s="170">
        <v>3.5123463690219987</v>
      </c>
      <c r="I34" s="170">
        <v>3.5100449435457537</v>
      </c>
      <c r="J34" s="170">
        <v>3.5076799103232115</v>
      </c>
      <c r="K34" s="170">
        <v>3.5053484462278726</v>
      </c>
      <c r="L34" s="170">
        <v>3.503130465324966</v>
      </c>
      <c r="M34" s="170">
        <v>3.500933453729596</v>
      </c>
      <c r="N34" s="170">
        <v>3.4988214287314308</v>
      </c>
      <c r="O34" s="170">
        <v>3.4966767147149773</v>
      </c>
      <c r="P34" s="170">
        <v>3.4945402816820925</v>
      </c>
      <c r="Q34" s="170">
        <v>3.492351497683568</v>
      </c>
      <c r="R34" s="170">
        <v>3.490095936125657</v>
      </c>
      <c r="S34" s="170">
        <v>3.487893058329659</v>
      </c>
      <c r="T34" s="170">
        <v>3.485558287160866</v>
      </c>
      <c r="U34" s="170">
        <v>3.48315165700842</v>
      </c>
      <c r="V34" s="170">
        <v>3.4806762890105976</v>
      </c>
      <c r="W34" s="170">
        <v>3.478201757538506</v>
      </c>
      <c r="X34" s="170">
        <v>3.4756883657155275</v>
      </c>
      <c r="Y34" s="170">
        <v>3.473149471681529</v>
      </c>
      <c r="Z34" s="170">
        <v>3.4705775739145026</v>
      </c>
      <c r="AA34" s="170">
        <v>3.46799781482419</v>
      </c>
      <c r="AB34" s="170">
        <v>3.4654131552217575</v>
      </c>
      <c r="AC34" s="170">
        <v>3.4627986211860797</v>
      </c>
      <c r="AD34" s="170">
        <v>3.46018884276773</v>
      </c>
      <c r="AE34" s="170">
        <v>3.4577771865679137</v>
      </c>
      <c r="AF34" s="170">
        <v>3.455113679434401</v>
      </c>
      <c r="AG34" s="170">
        <v>3.452443181997733</v>
      </c>
      <c r="AH34" s="170">
        <v>3.4498137533094995</v>
      </c>
      <c r="AI34" s="170">
        <v>3.4471633370154637</v>
      </c>
      <c r="AJ34" s="170">
        <v>3.444481983826477</v>
      </c>
      <c r="AK34" s="170">
        <v>3.4418339950453807</v>
      </c>
      <c r="AL34" s="170">
        <v>3.439160819796166</v>
      </c>
      <c r="AM34" s="170">
        <v>3.436470390993038</v>
      </c>
      <c r="AN34" s="170">
        <v>3.4337619758531392</v>
      </c>
      <c r="AO34" s="170">
        <v>3.4310823255980774</v>
      </c>
      <c r="AP34" s="170">
        <v>3.428363760631154</v>
      </c>
      <c r="AQ34" s="170">
        <v>3.4256714004543536</v>
      </c>
      <c r="AR34" s="170">
        <v>3.422967653184336</v>
      </c>
      <c r="AS34" s="170">
        <v>3.4202590765356637</v>
      </c>
      <c r="AT34" s="170">
        <v>3.417512696092837</v>
      </c>
      <c r="AU34" s="170">
        <v>3.414779948972126</v>
      </c>
      <c r="AV34" s="170">
        <v>3.4120748156887895</v>
      </c>
      <c r="AW34" s="170">
        <v>3.409336038074604</v>
      </c>
      <c r="AX34" s="170">
        <v>3.4065979433762847</v>
      </c>
      <c r="AY34" s="171"/>
      <c r="AZ34" s="171"/>
      <c r="BA34" s="171"/>
      <c r="BB34" s="171"/>
      <c r="BC34" s="171"/>
      <c r="BD34" s="171"/>
      <c r="BE34" s="171"/>
      <c r="BF34" s="171"/>
    </row>
    <row r="35" spans="1:58" ht="15.75">
      <c r="A35" s="167">
        <v>6.6000000000000005</v>
      </c>
      <c r="B35" s="170">
        <v>3.53239325692164</v>
      </c>
      <c r="C35" s="170">
        <v>3.5300641554520475</v>
      </c>
      <c r="D35" s="170">
        <v>3.527783276227322</v>
      </c>
      <c r="E35" s="170">
        <v>3.525352875842016</v>
      </c>
      <c r="F35" s="170">
        <v>3.522911916427153</v>
      </c>
      <c r="G35" s="170">
        <v>3.5207267439997607</v>
      </c>
      <c r="H35" s="170">
        <v>3.5171995238089386</v>
      </c>
      <c r="I35" s="170">
        <v>3.5148763163571983</v>
      </c>
      <c r="J35" s="170">
        <v>3.5125392168068013</v>
      </c>
      <c r="K35" s="170">
        <v>3.5102896814261073</v>
      </c>
      <c r="L35" s="170">
        <v>3.508149234823493</v>
      </c>
      <c r="M35" s="170">
        <v>3.5060133995592904</v>
      </c>
      <c r="N35" s="170">
        <v>3.5038474522012777</v>
      </c>
      <c r="O35" s="170">
        <v>3.5017613129644984</v>
      </c>
      <c r="P35" s="170">
        <v>3.499632595297779</v>
      </c>
      <c r="Q35" s="170">
        <v>3.497460428244823</v>
      </c>
      <c r="R35" s="170">
        <v>3.4952580224077847</v>
      </c>
      <c r="S35" s="170">
        <v>3.4929429212371277</v>
      </c>
      <c r="T35" s="170">
        <v>3.490560854785355</v>
      </c>
      <c r="U35" s="170">
        <v>3.4881863423672015</v>
      </c>
      <c r="V35" s="170">
        <v>3.4856919422318438</v>
      </c>
      <c r="W35" s="170">
        <v>3.4832301086290824</v>
      </c>
      <c r="X35" s="170">
        <v>3.480697809489427</v>
      </c>
      <c r="Y35" s="170">
        <v>3.47836124696785</v>
      </c>
      <c r="Z35" s="170">
        <v>3.4757983442913263</v>
      </c>
      <c r="AA35" s="170">
        <v>3.473234377380753</v>
      </c>
      <c r="AB35" s="170">
        <v>3.4706629871928714</v>
      </c>
      <c r="AC35" s="170">
        <v>3.468069884330248</v>
      </c>
      <c r="AD35" s="170">
        <v>3.465467800231626</v>
      </c>
      <c r="AE35" s="170">
        <v>3.4628643629196905</v>
      </c>
      <c r="AF35" s="170">
        <v>3.4602819579829998</v>
      </c>
      <c r="AG35" s="170">
        <v>3.457625499533996</v>
      </c>
      <c r="AH35" s="170">
        <v>3.4550107147748865</v>
      </c>
      <c r="AI35" s="170">
        <v>3.4523988534681607</v>
      </c>
      <c r="AJ35" s="170">
        <v>3.4497314800192598</v>
      </c>
      <c r="AK35" s="170">
        <v>3.4471034357598147</v>
      </c>
      <c r="AL35" s="170">
        <v>3.444448555344847</v>
      </c>
      <c r="AM35" s="170">
        <v>3.441816368128702</v>
      </c>
      <c r="AN35" s="170">
        <v>3.4391291026594706</v>
      </c>
      <c r="AO35" s="170">
        <v>3.4364781691707442</v>
      </c>
      <c r="AP35" s="170">
        <v>3.4337924489445406</v>
      </c>
      <c r="AQ35" s="170">
        <v>3.4311079297032365</v>
      </c>
      <c r="AR35" s="170">
        <v>3.428450635190164</v>
      </c>
      <c r="AS35" s="170">
        <v>3.425744898374361</v>
      </c>
      <c r="AT35" s="170">
        <v>3.4230396392044837</v>
      </c>
      <c r="AU35" s="170">
        <v>3.420366955653397</v>
      </c>
      <c r="AV35" s="170">
        <v>3.41766299632212</v>
      </c>
      <c r="AW35" s="170">
        <v>3.4149535881879505</v>
      </c>
      <c r="AX35" s="170">
        <v>3.412268016686923</v>
      </c>
      <c r="AY35" s="171"/>
      <c r="AZ35" s="171"/>
      <c r="BA35" s="171"/>
      <c r="BB35" s="171"/>
      <c r="BC35" s="171"/>
      <c r="BD35" s="171"/>
      <c r="BE35" s="171"/>
      <c r="BF35" s="171"/>
    </row>
    <row r="36" spans="1:58" ht="15.75">
      <c r="A36" s="167">
        <v>6.800000000000001</v>
      </c>
      <c r="B36" s="170">
        <v>3.5370275387671253</v>
      </c>
      <c r="C36" s="170">
        <v>3.534730710412493</v>
      </c>
      <c r="D36" s="170">
        <v>3.532395287328319</v>
      </c>
      <c r="E36" s="170">
        <v>3.529988987494615</v>
      </c>
      <c r="F36" s="170">
        <v>3.5278140213513</v>
      </c>
      <c r="G36" s="170">
        <v>3.525675867079536</v>
      </c>
      <c r="H36" s="170">
        <v>3.5219396280471806</v>
      </c>
      <c r="I36" s="170">
        <v>3.5197940588404637</v>
      </c>
      <c r="J36" s="170">
        <v>3.517509897041832</v>
      </c>
      <c r="K36" s="170">
        <v>3.5153181903563984</v>
      </c>
      <c r="L36" s="170">
        <v>3.5131679629782697</v>
      </c>
      <c r="M36" s="170">
        <v>3.5110719950149485</v>
      </c>
      <c r="N36" s="170">
        <v>3.508979368474216</v>
      </c>
      <c r="O36" s="170">
        <v>3.506835395436044</v>
      </c>
      <c r="P36" s="170">
        <v>3.504862112920239</v>
      </c>
      <c r="Q36" s="170">
        <v>3.5026556511222275</v>
      </c>
      <c r="R36" s="170">
        <v>3.500398013700421</v>
      </c>
      <c r="S36" s="170">
        <v>3.498141340712039</v>
      </c>
      <c r="T36" s="170">
        <v>3.495717435862771</v>
      </c>
      <c r="U36" s="170">
        <v>3.4932944600494866</v>
      </c>
      <c r="V36" s="170">
        <v>3.4908379023564478</v>
      </c>
      <c r="W36" s="170">
        <v>3.4883890991272803</v>
      </c>
      <c r="X36" s="170">
        <v>3.4858798524913395</v>
      </c>
      <c r="Y36" s="170">
        <v>3.4833289080561483</v>
      </c>
      <c r="Z36" s="170">
        <v>3.480792316534839</v>
      </c>
      <c r="AA36" s="170">
        <v>3.478243269110852</v>
      </c>
      <c r="AB36" s="170">
        <v>3.475692549202214</v>
      </c>
      <c r="AC36" s="170">
        <v>3.4731363671598543</v>
      </c>
      <c r="AD36" s="170">
        <v>3.4705515753956897</v>
      </c>
      <c r="AE36" s="170">
        <v>3.4679659021496474</v>
      </c>
      <c r="AF36" s="170">
        <v>3.4653903589338015</v>
      </c>
      <c r="AG36" s="170">
        <v>3.462804776841372</v>
      </c>
      <c r="AH36" s="170">
        <v>3.460193998305743</v>
      </c>
      <c r="AI36" s="170">
        <v>3.4575686309299525</v>
      </c>
      <c r="AJ36" s="170">
        <v>3.454978482810284</v>
      </c>
      <c r="AK36" s="170">
        <v>3.4523245736008743</v>
      </c>
      <c r="AL36" s="170">
        <v>3.4497277618894757</v>
      </c>
      <c r="AM36" s="170">
        <v>3.447090840521549</v>
      </c>
      <c r="AN36" s="170">
        <v>3.4444303134172136</v>
      </c>
      <c r="AO36" s="170">
        <v>3.4417975093465927</v>
      </c>
      <c r="AP36" s="170">
        <v>3.4391502980009565</v>
      </c>
      <c r="AQ36" s="170">
        <v>3.436521740909248</v>
      </c>
      <c r="AR36" s="170">
        <v>3.433859294646833</v>
      </c>
      <c r="AS36" s="170">
        <v>3.431222960988673</v>
      </c>
      <c r="AT36" s="170">
        <v>3.4285411692607832</v>
      </c>
      <c r="AU36" s="170">
        <v>3.425893006152901</v>
      </c>
      <c r="AV36" s="170">
        <v>3.4232126183223412</v>
      </c>
      <c r="AW36" s="170">
        <v>3.42053312870156</v>
      </c>
      <c r="AX36" s="170">
        <v>3.417894296917762</v>
      </c>
      <c r="AY36" s="171"/>
      <c r="AZ36" s="171"/>
      <c r="BA36" s="171"/>
      <c r="BB36" s="171"/>
      <c r="BC36" s="171"/>
      <c r="BD36" s="171"/>
      <c r="BE36" s="171"/>
      <c r="BF36" s="171"/>
    </row>
    <row r="37" spans="1:58" ht="15.75">
      <c r="A37" s="167">
        <v>7</v>
      </c>
      <c r="B37" s="170">
        <v>3.0602309667220062</v>
      </c>
      <c r="C37" s="170">
        <v>3.5394276684581634</v>
      </c>
      <c r="D37" s="170">
        <v>3.5371704901775054</v>
      </c>
      <c r="E37" s="170">
        <v>3.534802775948137</v>
      </c>
      <c r="F37" s="170">
        <v>3.5326371420130593</v>
      </c>
      <c r="G37" s="170">
        <v>3.5304687969754713</v>
      </c>
      <c r="H37" s="170">
        <v>3.527079569462363</v>
      </c>
      <c r="I37" s="170">
        <v>3.524936090512151</v>
      </c>
      <c r="J37" s="170">
        <v>3.522669940284227</v>
      </c>
      <c r="K37" s="170">
        <v>3.5204519769832006</v>
      </c>
      <c r="L37" s="170">
        <v>3.5183722481966946</v>
      </c>
      <c r="M37" s="170">
        <v>3.5162724167659287</v>
      </c>
      <c r="N37" s="170">
        <v>3.514143395877674</v>
      </c>
      <c r="O37" s="170">
        <v>3.512025736842321</v>
      </c>
      <c r="P37" s="170">
        <v>3.5098397376812187</v>
      </c>
      <c r="Q37" s="170">
        <v>3.5076180385269153</v>
      </c>
      <c r="R37" s="170">
        <v>3.505338431627471</v>
      </c>
      <c r="S37" s="170">
        <v>3.5030882745954446</v>
      </c>
      <c r="T37" s="170">
        <v>3.500649067947881</v>
      </c>
      <c r="U37" s="170">
        <v>3.4981965789164136</v>
      </c>
      <c r="V37" s="170">
        <v>3.495836105383176</v>
      </c>
      <c r="W37" s="170">
        <v>3.4933339906431655</v>
      </c>
      <c r="X37" s="170">
        <v>3.4908318372420317</v>
      </c>
      <c r="Y37" s="170">
        <v>3.488279095983476</v>
      </c>
      <c r="Z37" s="170">
        <v>3.4857619788841974</v>
      </c>
      <c r="AA37" s="170">
        <v>3.483235845228326</v>
      </c>
      <c r="AB37" s="170">
        <v>3.4806396834366597</v>
      </c>
      <c r="AC37" s="170">
        <v>3.478147073669575</v>
      </c>
      <c r="AD37" s="170">
        <v>3.4755870456744478</v>
      </c>
      <c r="AE37" s="170">
        <v>3.4730245671616187</v>
      </c>
      <c r="AF37" s="170">
        <v>3.4704684013812477</v>
      </c>
      <c r="AG37" s="170">
        <v>3.4678984703694713</v>
      </c>
      <c r="AH37" s="170">
        <v>3.4653146432356396</v>
      </c>
      <c r="AI37" s="170">
        <v>3.4627352841532946</v>
      </c>
      <c r="AJ37" s="170">
        <v>3.460119268820911</v>
      </c>
      <c r="AK37" s="170">
        <v>3.457546872846858</v>
      </c>
      <c r="AL37" s="170">
        <v>3.454941495888737</v>
      </c>
      <c r="AM37" s="170">
        <v>3.4523172329289067</v>
      </c>
      <c r="AN37" s="170">
        <v>3.4497249334682065</v>
      </c>
      <c r="AO37" s="170">
        <v>3.447102713496952</v>
      </c>
      <c r="AP37" s="170">
        <v>3.4444854452522153</v>
      </c>
      <c r="AQ37" s="170">
        <v>3.4418968657858824</v>
      </c>
      <c r="AR37" s="170">
        <v>3.4392348547217626</v>
      </c>
      <c r="AS37" s="170">
        <v>3.436623096337415</v>
      </c>
      <c r="AT37" s="170">
        <v>3.433996898122766</v>
      </c>
      <c r="AU37" s="170">
        <v>3.431358423498794</v>
      </c>
      <c r="AV37" s="170">
        <v>3.4287211748336417</v>
      </c>
      <c r="AW37" s="170">
        <v>3.426082319950969</v>
      </c>
      <c r="AX37" s="170">
        <v>3.4234400639052742</v>
      </c>
      <c r="AY37" s="171"/>
      <c r="AZ37" s="171"/>
      <c r="BA37" s="171"/>
      <c r="BB37" s="171"/>
      <c r="BC37" s="171"/>
      <c r="BD37" s="171"/>
      <c r="BE37" s="171"/>
      <c r="BF37" s="171"/>
    </row>
    <row r="38" spans="1:58" ht="15.75">
      <c r="A38" s="167">
        <v>7.2</v>
      </c>
      <c r="B38" s="170">
        <v>3.546325973450963</v>
      </c>
      <c r="C38" s="170">
        <v>3.5440433120399444</v>
      </c>
      <c r="D38" s="170">
        <v>3.541786605364488</v>
      </c>
      <c r="E38" s="170">
        <v>3.539454985622563</v>
      </c>
      <c r="F38" s="170">
        <v>3.5373289801682732</v>
      </c>
      <c r="G38" s="170">
        <v>3.5352780532454084</v>
      </c>
      <c r="H38" s="170">
        <v>3.5318383699447624</v>
      </c>
      <c r="I38" s="170">
        <v>3.5297310283198664</v>
      </c>
      <c r="J38" s="170">
        <v>3.5275542095705426</v>
      </c>
      <c r="K38" s="170">
        <v>3.525491892167394</v>
      </c>
      <c r="L38" s="170">
        <v>3.523390922868214</v>
      </c>
      <c r="M38" s="170">
        <v>3.5213191555823435</v>
      </c>
      <c r="N38" s="170">
        <v>3.519180477675891</v>
      </c>
      <c r="O38" s="170">
        <v>3.5170621322953814</v>
      </c>
      <c r="P38" s="170">
        <v>3.514912657442756</v>
      </c>
      <c r="Q38" s="170">
        <v>3.5126526081441183</v>
      </c>
      <c r="R38" s="170">
        <v>3.51033121942745</v>
      </c>
      <c r="S38" s="170">
        <v>3.5080217895584735</v>
      </c>
      <c r="T38" s="170">
        <v>3.5056299271112827</v>
      </c>
      <c r="U38" s="170">
        <v>3.5031718591479435</v>
      </c>
      <c r="V38" s="170">
        <v>3.5007209197621574</v>
      </c>
      <c r="W38" s="170">
        <v>3.498254747898478</v>
      </c>
      <c r="X38" s="170">
        <v>3.4957481238943093</v>
      </c>
      <c r="Y38" s="170">
        <v>3.4932428903260226</v>
      </c>
      <c r="Z38" s="170">
        <v>3.490701797860901</v>
      </c>
      <c r="AA38" s="170">
        <v>3.48818742803528</v>
      </c>
      <c r="AB38" s="170">
        <v>3.4856641839901235</v>
      </c>
      <c r="AC38" s="170">
        <v>3.483138379761204</v>
      </c>
      <c r="AD38" s="170">
        <v>3.4806020884392748</v>
      </c>
      <c r="AE38" s="170">
        <v>3.4780509197621443</v>
      </c>
      <c r="AF38" s="170">
        <v>3.4754940506318492</v>
      </c>
      <c r="AG38" s="170">
        <v>3.4729598951192235</v>
      </c>
      <c r="AH38" s="170">
        <v>3.470393844469954</v>
      </c>
      <c r="AI38" s="170">
        <v>3.4678336530781815</v>
      </c>
      <c r="AJ38" s="170">
        <v>3.465260040554569</v>
      </c>
      <c r="AK38" s="170">
        <v>3.4627031573840212</v>
      </c>
      <c r="AL38" s="170">
        <v>3.4601465088507948</v>
      </c>
      <c r="AM38" s="170">
        <v>3.457564853808713</v>
      </c>
      <c r="AN38" s="170">
        <v>3.4549511038312772</v>
      </c>
      <c r="AO38" s="170">
        <v>3.4523797303000507</v>
      </c>
      <c r="AP38" s="170">
        <v>3.449788693262815</v>
      </c>
      <c r="AQ38" s="170">
        <v>3.447190977382605</v>
      </c>
      <c r="AR38" s="170">
        <v>3.444624181820161</v>
      </c>
      <c r="AS38" s="170">
        <v>3.4419981378558133</v>
      </c>
      <c r="AT38" s="170">
        <v>3.439402916008091</v>
      </c>
      <c r="AU38" s="170">
        <v>3.4367975745494723</v>
      </c>
      <c r="AV38" s="170">
        <v>3.434184585787355</v>
      </c>
      <c r="AW38" s="170">
        <v>3.431584620733644</v>
      </c>
      <c r="AX38" s="170">
        <v>3.428956163028092</v>
      </c>
      <c r="AY38" s="171"/>
      <c r="AZ38" s="171"/>
      <c r="BA38" s="171"/>
      <c r="BB38" s="171"/>
      <c r="BC38" s="171"/>
      <c r="BD38" s="171"/>
      <c r="BE38" s="171"/>
      <c r="BF38" s="171"/>
    </row>
    <row r="39" spans="1:58" ht="15.75">
      <c r="A39" s="167">
        <v>7.4</v>
      </c>
      <c r="B39" s="170">
        <v>3.5509872775223</v>
      </c>
      <c r="C39" s="170">
        <v>3.548731073851067</v>
      </c>
      <c r="D39" s="170">
        <v>3.546506846843735</v>
      </c>
      <c r="E39" s="170">
        <v>3.544228417520989</v>
      </c>
      <c r="F39" s="170">
        <v>3.542139483935859</v>
      </c>
      <c r="G39" s="170">
        <v>3.5400705428285844</v>
      </c>
      <c r="H39" s="170">
        <v>3.5366550291624543</v>
      </c>
      <c r="I39" s="170">
        <v>3.5346038555907655</v>
      </c>
      <c r="J39" s="170">
        <v>3.532561937897364</v>
      </c>
      <c r="K39" s="170">
        <v>3.530439744432086</v>
      </c>
      <c r="L39" s="170">
        <v>3.5283778888707085</v>
      </c>
      <c r="M39" s="170">
        <v>3.526292463714073</v>
      </c>
      <c r="N39" s="170">
        <v>3.5241829915702474</v>
      </c>
      <c r="O39" s="170">
        <v>3.5219269618559528</v>
      </c>
      <c r="P39" s="170">
        <v>3.5197032351805455</v>
      </c>
      <c r="Q39" s="170">
        <v>3.5175605881230165</v>
      </c>
      <c r="R39" s="170">
        <v>3.515191617887446</v>
      </c>
      <c r="S39" s="170">
        <v>3.5128967317654682</v>
      </c>
      <c r="T39" s="170">
        <v>3.510457962472052</v>
      </c>
      <c r="U39" s="170">
        <v>3.5080320961245706</v>
      </c>
      <c r="V39" s="170">
        <v>3.505602472634182</v>
      </c>
      <c r="W39" s="170">
        <v>3.503127154869846</v>
      </c>
      <c r="X39" s="170">
        <v>3.500631296044769</v>
      </c>
      <c r="Y39" s="170">
        <v>3.4981569853908803</v>
      </c>
      <c r="Z39" s="170">
        <v>3.4956170870224152</v>
      </c>
      <c r="AA39" s="170">
        <v>3.4931270788085396</v>
      </c>
      <c r="AB39" s="170">
        <v>3.490612818229068</v>
      </c>
      <c r="AC39" s="170">
        <v>3.48809651510441</v>
      </c>
      <c r="AD39" s="170">
        <v>3.485582379260602</v>
      </c>
      <c r="AE39" s="170">
        <v>3.4830423473597634</v>
      </c>
      <c r="AF39" s="170">
        <v>3.4805201229007636</v>
      </c>
      <c r="AG39" s="170">
        <v>3.477988389502967</v>
      </c>
      <c r="AH39" s="170">
        <v>3.475474148416716</v>
      </c>
      <c r="AI39" s="170">
        <v>3.4729201021548617</v>
      </c>
      <c r="AJ39" s="170">
        <v>3.4703846921954544</v>
      </c>
      <c r="AK39" s="170">
        <v>3.46784866601199</v>
      </c>
      <c r="AL39" s="170">
        <v>3.4652823448630166</v>
      </c>
      <c r="AM39" s="170">
        <v>3.462733837272783</v>
      </c>
      <c r="AN39" s="170">
        <v>3.460156132934161</v>
      </c>
      <c r="AO39" s="170">
        <v>3.4575978116659214</v>
      </c>
      <c r="AP39" s="170">
        <v>3.45504010885769</v>
      </c>
      <c r="AQ39" s="170">
        <v>3.452498593148302</v>
      </c>
      <c r="AR39" s="170">
        <v>3.44988068650172</v>
      </c>
      <c r="AS39" s="170">
        <v>3.447324370891065</v>
      </c>
      <c r="AT39" s="170">
        <v>3.4447698908820135</v>
      </c>
      <c r="AU39" s="170">
        <v>3.4421981230988203</v>
      </c>
      <c r="AV39" s="170">
        <v>3.4395947451521134</v>
      </c>
      <c r="AW39" s="170">
        <v>3.4369986702045643</v>
      </c>
      <c r="AX39" s="170">
        <v>3.434431991364943</v>
      </c>
      <c r="AY39" s="171"/>
      <c r="AZ39" s="171"/>
      <c r="BA39" s="171"/>
      <c r="BB39" s="171"/>
      <c r="BC39" s="171"/>
      <c r="BD39" s="171"/>
      <c r="BE39" s="171"/>
      <c r="BF39" s="171"/>
    </row>
    <row r="40" spans="1:58" ht="15.75">
      <c r="A40" s="167">
        <v>7.6000000000000005</v>
      </c>
      <c r="B40" s="170">
        <v>3.6276155308191345</v>
      </c>
      <c r="C40" s="170">
        <v>3.5533415349820445</v>
      </c>
      <c r="D40" s="170">
        <v>3.5510948747230273</v>
      </c>
      <c r="E40" s="170">
        <v>3.5489051944530563</v>
      </c>
      <c r="F40" s="170">
        <v>3.5467917373160125</v>
      </c>
      <c r="G40" s="170">
        <v>3.544809754673363</v>
      </c>
      <c r="H40" s="170">
        <v>3.5415276295886065</v>
      </c>
      <c r="I40" s="170">
        <v>3.539469712972376</v>
      </c>
      <c r="J40" s="170">
        <v>3.537464549385209</v>
      </c>
      <c r="K40" s="170">
        <v>3.535404337804885</v>
      </c>
      <c r="L40" s="170">
        <v>3.5333584430799583</v>
      </c>
      <c r="M40" s="170">
        <v>3.531230166186932</v>
      </c>
      <c r="N40" s="170">
        <v>3.5291388714710448</v>
      </c>
      <c r="O40" s="170">
        <v>3.5268400178498416</v>
      </c>
      <c r="P40" s="170">
        <v>3.5246978957972668</v>
      </c>
      <c r="Q40" s="170">
        <v>3.522418173451129</v>
      </c>
      <c r="R40" s="170">
        <v>3.5201060927453107</v>
      </c>
      <c r="S40" s="170">
        <v>3.5177111042160876</v>
      </c>
      <c r="T40" s="170">
        <v>3.515308109706152</v>
      </c>
      <c r="U40" s="170">
        <v>3.5128863785095703</v>
      </c>
      <c r="V40" s="170">
        <v>3.510446398766551</v>
      </c>
      <c r="W40" s="170">
        <v>3.507980297798549</v>
      </c>
      <c r="X40" s="170">
        <v>3.505505763680487</v>
      </c>
      <c r="Y40" s="170">
        <v>3.503025909741691</v>
      </c>
      <c r="Z40" s="170">
        <v>3.500536786559892</v>
      </c>
      <c r="AA40" s="170">
        <v>3.4980011427916424</v>
      </c>
      <c r="AB40" s="170">
        <v>3.4955203610430052</v>
      </c>
      <c r="AC40" s="170">
        <v>3.493029508523791</v>
      </c>
      <c r="AD40" s="170">
        <v>3.4905329587434797</v>
      </c>
      <c r="AE40" s="170">
        <v>3.4880167143094196</v>
      </c>
      <c r="AF40" s="170">
        <v>3.4855025926924443</v>
      </c>
      <c r="AG40" s="170">
        <v>3.4830084055001773</v>
      </c>
      <c r="AH40" s="170">
        <v>3.48048305766934</v>
      </c>
      <c r="AI40" s="170">
        <v>3.4779950689438266</v>
      </c>
      <c r="AJ40" s="170">
        <v>3.4754598823085003</v>
      </c>
      <c r="AK40" s="170">
        <v>3.472929740195143</v>
      </c>
      <c r="AL40" s="170">
        <v>3.4704160086699676</v>
      </c>
      <c r="AM40" s="170">
        <v>3.467870135947889</v>
      </c>
      <c r="AN40" s="170">
        <v>3.465315034033544</v>
      </c>
      <c r="AO40" s="170">
        <v>3.4628104743804116</v>
      </c>
      <c r="AP40" s="170">
        <v>3.4602517948649063</v>
      </c>
      <c r="AQ40" s="170">
        <v>3.4577081204356457</v>
      </c>
      <c r="AR40" s="170">
        <v>3.4551839603376426</v>
      </c>
      <c r="AS40" s="170">
        <v>3.4526255254631977</v>
      </c>
      <c r="AT40" s="170">
        <v>3.450076553641842</v>
      </c>
      <c r="AU40" s="170">
        <v>3.4475335241117415</v>
      </c>
      <c r="AV40" s="170">
        <v>3.4449901738084625</v>
      </c>
      <c r="AW40" s="170">
        <v>3.4424290405949267</v>
      </c>
      <c r="AX40" s="170">
        <v>3.4398550503187875</v>
      </c>
      <c r="AY40" s="171"/>
      <c r="AZ40" s="171"/>
      <c r="BA40" s="171"/>
      <c r="BB40" s="171"/>
      <c r="BC40" s="171"/>
      <c r="BD40" s="171"/>
      <c r="BE40" s="171"/>
      <c r="BF40" s="171"/>
    </row>
    <row r="41" spans="1:58" ht="15.75">
      <c r="A41" s="167">
        <v>7.800000000000001</v>
      </c>
      <c r="B41" s="170">
        <v>3.7478141635889726</v>
      </c>
      <c r="C41" s="170">
        <v>3.557880950056338</v>
      </c>
      <c r="D41" s="170">
        <v>3.555727337826889</v>
      </c>
      <c r="E41" s="170">
        <v>3.5535434015245198</v>
      </c>
      <c r="F41" s="170">
        <v>3.5514797240277103</v>
      </c>
      <c r="G41" s="170">
        <v>3.5496553351215776</v>
      </c>
      <c r="H41" s="170">
        <v>3.5464767934476864</v>
      </c>
      <c r="I41" s="170">
        <v>3.544406452134901</v>
      </c>
      <c r="J41" s="170">
        <v>3.5423903345601935</v>
      </c>
      <c r="K41" s="170">
        <v>3.54031401058191</v>
      </c>
      <c r="L41" s="170">
        <v>3.538292262243208</v>
      </c>
      <c r="M41" s="170">
        <v>3.536154870016368</v>
      </c>
      <c r="N41" s="170">
        <v>3.534079718806717</v>
      </c>
      <c r="O41" s="170">
        <v>3.5316875387130797</v>
      </c>
      <c r="P41" s="170">
        <v>3.5295526236072567</v>
      </c>
      <c r="Q41" s="170">
        <v>3.527229378392608</v>
      </c>
      <c r="R41" s="170">
        <v>3.5249246933807936</v>
      </c>
      <c r="S41" s="170">
        <v>3.522528285410811</v>
      </c>
      <c r="T41" s="170">
        <v>3.520116676495346</v>
      </c>
      <c r="U41" s="170">
        <v>3.5176858799283792</v>
      </c>
      <c r="V41" s="170">
        <v>3.515252190742993</v>
      </c>
      <c r="W41" s="170">
        <v>3.5127910638360693</v>
      </c>
      <c r="X41" s="170">
        <v>3.5103392962914146</v>
      </c>
      <c r="Y41" s="170">
        <v>3.5078749465643075</v>
      </c>
      <c r="Z41" s="170">
        <v>3.5054018901678066</v>
      </c>
      <c r="AA41" s="170">
        <v>3.502889158974983</v>
      </c>
      <c r="AB41" s="170">
        <v>3.500402921898912</v>
      </c>
      <c r="AC41" s="170">
        <v>3.4979325068474396</v>
      </c>
      <c r="AD41" s="170">
        <v>3.495444729825882</v>
      </c>
      <c r="AE41" s="170">
        <v>3.492970893375233</v>
      </c>
      <c r="AF41" s="170">
        <v>3.4904892785233685</v>
      </c>
      <c r="AG41" s="170">
        <v>3.4879958479361552</v>
      </c>
      <c r="AH41" s="170">
        <v>3.485506388163075</v>
      </c>
      <c r="AI41" s="170">
        <v>3.4829989979791462</v>
      </c>
      <c r="AJ41" s="170">
        <v>3.4805153807341296</v>
      </c>
      <c r="AK41" s="170">
        <v>3.47800344733851</v>
      </c>
      <c r="AL41" s="170">
        <v>3.4755188125699226</v>
      </c>
      <c r="AM41" s="170">
        <v>3.4729717300441947</v>
      </c>
      <c r="AN41" s="170">
        <v>3.4704882154279035</v>
      </c>
      <c r="AO41" s="170">
        <v>3.467980282027543</v>
      </c>
      <c r="AP41" s="170">
        <v>3.465429771838542</v>
      </c>
      <c r="AQ41" s="170">
        <v>3.4629477026987545</v>
      </c>
      <c r="AR41" s="170">
        <v>3.4604238206613256</v>
      </c>
      <c r="AS41" s="170">
        <v>3.4579023814877976</v>
      </c>
      <c r="AT41" s="170">
        <v>3.455364324077931</v>
      </c>
      <c r="AU41" s="170">
        <v>3.4528478795581914</v>
      </c>
      <c r="AV41" s="170">
        <v>3.450325768007046</v>
      </c>
      <c r="AW41" s="170">
        <v>3.447792231938669</v>
      </c>
      <c r="AX41" s="170">
        <v>3.4452449143713495</v>
      </c>
      <c r="AY41" s="171"/>
      <c r="AZ41" s="171"/>
      <c r="BA41" s="171"/>
      <c r="BB41" s="171"/>
      <c r="BC41" s="171"/>
      <c r="BD41" s="171"/>
      <c r="BE41" s="171"/>
      <c r="BF41" s="171"/>
    </row>
    <row r="42" spans="1:58" ht="15.75">
      <c r="A42" s="167">
        <v>8</v>
      </c>
      <c r="B42" s="170">
        <v>3.5310949395630153</v>
      </c>
      <c r="C42" s="170">
        <v>3.5625544030913816</v>
      </c>
      <c r="D42" s="170">
        <v>3.560427133776502</v>
      </c>
      <c r="E42" s="170">
        <v>3.5583589501974164</v>
      </c>
      <c r="F42" s="170">
        <v>3.556333892039614</v>
      </c>
      <c r="G42" s="170">
        <v>3.5544067723979578</v>
      </c>
      <c r="H42" s="170">
        <v>3.5512982939742037</v>
      </c>
      <c r="I42" s="170">
        <v>3.5493171616537347</v>
      </c>
      <c r="J42" s="170">
        <v>3.5473235108523276</v>
      </c>
      <c r="K42" s="170">
        <v>3.545298149480574</v>
      </c>
      <c r="L42" s="170">
        <v>3.5432018620426935</v>
      </c>
      <c r="M42" s="170">
        <v>3.5410618564966696</v>
      </c>
      <c r="N42" s="170">
        <v>3.538864769865244</v>
      </c>
      <c r="O42" s="170">
        <v>3.5366112773158025</v>
      </c>
      <c r="P42" s="170">
        <v>3.534370234067847</v>
      </c>
      <c r="Q42" s="170">
        <v>3.532031544068047</v>
      </c>
      <c r="R42" s="170">
        <v>3.5296903950858303</v>
      </c>
      <c r="S42" s="170">
        <v>3.527329580168796</v>
      </c>
      <c r="T42" s="170">
        <v>3.524897026374418</v>
      </c>
      <c r="U42" s="170">
        <v>3.522458929552039</v>
      </c>
      <c r="V42" s="170">
        <v>3.520030908946736</v>
      </c>
      <c r="W42" s="170">
        <v>3.5175964453308337</v>
      </c>
      <c r="X42" s="170">
        <v>3.5151547005822623</v>
      </c>
      <c r="Y42" s="170">
        <v>3.5126940984766994</v>
      </c>
      <c r="Z42" s="170">
        <v>3.5102441019107937</v>
      </c>
      <c r="AA42" s="170">
        <v>3.5077810954986584</v>
      </c>
      <c r="AB42" s="170">
        <v>3.5052958474631444</v>
      </c>
      <c r="AC42" s="170">
        <v>3.5028022166412596</v>
      </c>
      <c r="AD42" s="170">
        <v>3.500340781672414</v>
      </c>
      <c r="AE42" s="170">
        <v>3.4978875842413935</v>
      </c>
      <c r="AF42" s="170">
        <v>3.49541830341692</v>
      </c>
      <c r="AG42" s="170">
        <v>3.492948357814513</v>
      </c>
      <c r="AH42" s="170">
        <v>3.490479964718804</v>
      </c>
      <c r="AI42" s="170">
        <v>3.488008336945578</v>
      </c>
      <c r="AJ42" s="170">
        <v>3.4855195824977074</v>
      </c>
      <c r="AK42" s="170">
        <v>3.483052470681711</v>
      </c>
      <c r="AL42" s="170">
        <v>3.4805635875531555</v>
      </c>
      <c r="AM42" s="170">
        <v>3.47807533173031</v>
      </c>
      <c r="AN42" s="170">
        <v>3.475575636820883</v>
      </c>
      <c r="AO42" s="170">
        <v>3.4730965695913403</v>
      </c>
      <c r="AP42" s="170">
        <v>3.470596376487471</v>
      </c>
      <c r="AQ42" s="170">
        <v>3.468119345576636</v>
      </c>
      <c r="AR42" s="170">
        <v>3.4656245902758127</v>
      </c>
      <c r="AS42" s="170">
        <v>3.463110481326673</v>
      </c>
      <c r="AT42" s="170">
        <v>3.4606051294034845</v>
      </c>
      <c r="AU42" s="170">
        <v>3.458133054906394</v>
      </c>
      <c r="AV42" s="170">
        <v>3.455615003028813</v>
      </c>
      <c r="AW42" s="170">
        <v>3.4530944994713444</v>
      </c>
      <c r="AX42" s="170">
        <v>3.373932652721979</v>
      </c>
      <c r="AY42" s="171"/>
      <c r="AZ42" s="171"/>
      <c r="BA42" s="171"/>
      <c r="BB42" s="171"/>
      <c r="BC42" s="171"/>
      <c r="BD42" s="171"/>
      <c r="BE42" s="171"/>
      <c r="BF42" s="17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dc:creator>
  <cp:keywords/>
  <dc:description/>
  <cp:lastModifiedBy>remote</cp:lastModifiedBy>
  <cp:lastPrinted>2003-05-29T16:00:13Z</cp:lastPrinted>
  <dcterms:created xsi:type="dcterms:W3CDTF">1999-04-17T16:03:07Z</dcterms:created>
  <dcterms:modified xsi:type="dcterms:W3CDTF">2013-08-27T12:54:32Z</dcterms:modified>
  <cp:category/>
  <cp:version/>
  <cp:contentType/>
  <cp:contentStatus/>
</cp:coreProperties>
</file>